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s\rc8_documents\rc8_documents_pn7160\05_Software\SW6780 - PN7160 DLMA configuration table\"/>
    </mc:Choice>
  </mc:AlternateContent>
  <xr:revisionPtr revIDLastSave="0" documentId="13_ncr:1_{E316D5EA-A99D-409B-82F8-D083D50FFF77}" xr6:coauthVersionLast="45" xr6:coauthVersionMax="45" xr10:uidLastSave="{00000000-0000-0000-0000-000000000000}"/>
  <bookViews>
    <workbookView xWindow="-120" yWindow="-120" windowWidth="29040" windowHeight="15840" tabRatio="673" xr2:uid="{00000000-000D-0000-FFFF-FFFF00000000}"/>
  </bookViews>
  <sheets>
    <sheet name="Revision history" sheetId="80" r:id="rId1"/>
    <sheet name="DLMA CTRL Settings" sheetId="78" r:id="rId2"/>
    <sheet name="DLMA RSSI Settings" sheetId="65" r:id="rId3"/>
    <sheet name="DLMA TX Settings" sheetId="67" r:id="rId4"/>
    <sheet name="DLMA NCI CMD" sheetId="81" r:id="rId5"/>
  </sheets>
  <definedNames>
    <definedName name="_xlnm._FilterDatabase" localSheetId="3" hidden="1">'DLMA TX Settings'!$B$2:$M$39</definedName>
    <definedName name="DLMA_ENA_BPSK_AB">'DLMA CTRL Settings'!$D$5</definedName>
    <definedName name="DLMA_ENA_BPSK_F">'DLMA CTRL Settings'!$D$19</definedName>
    <definedName name="DLMA_ENA_SINGLE_TX_AB">'DLMA CTRL Settings'!$D$4</definedName>
    <definedName name="DLMA_ENA_SINGLE_TX_F">'DLMA CTRL Settings'!$D$18</definedName>
    <definedName name="DLMA_LIMIT_HIGH_AB">0</definedName>
    <definedName name="DLMA_LIMIT_HIGH_F">0</definedName>
    <definedName name="DLMA_LIMIT_LOW_AB">0</definedName>
    <definedName name="DLMA_LIMIT_LOW_F">0</definedName>
    <definedName name="DLMA_LIMIT_TXLDO_AB">'DLMA CTRL Settings'!$D$10</definedName>
    <definedName name="DLMA_LIMIT_TXLDO_F">'DLMA CTRL Settings'!$D$24</definedName>
    <definedName name="DLMA_RSSI_H_SCALE_AB">'DLMA CTRL Settings'!$D$13</definedName>
    <definedName name="DLMA_RSSI_H_SCALE_F">'DLMA CTRL Settings'!$D$27</definedName>
    <definedName name="ID_REF_AB">3</definedName>
    <definedName name="ID_REF_F">3</definedName>
    <definedName name="LMA_TX_ref_AB">'DLMA CTRL Settings'!$D$6</definedName>
    <definedName name="LMA_TX_ref_F">'DLMA CTRL Settings'!$D$20</definedName>
    <definedName name="LMA_TX_SHIFT_AB">'DLMA CTRL Settings'!$D$9</definedName>
    <definedName name="LMA_TX_SHIFT_F">'DLMA CTRL Settings'!$D$23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RSSI_H_ratio_ref">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81" l="1"/>
  <c r="F31" i="78" l="1"/>
  <c r="T20" i="78"/>
  <c r="I21" i="78" s="1"/>
  <c r="R20" i="78"/>
  <c r="S20" i="78" s="1"/>
  <c r="P20" i="78"/>
  <c r="Q20" i="78" s="1"/>
  <c r="T13" i="78"/>
  <c r="R13" i="78"/>
  <c r="P13" i="78"/>
  <c r="T12" i="78"/>
  <c r="I7" i="78" s="1"/>
  <c r="R12" i="78"/>
  <c r="P12" i="78"/>
  <c r="Q12" i="78" l="1"/>
  <c r="S12" i="78"/>
  <c r="S13" i="78"/>
  <c r="Q13" i="78"/>
  <c r="I20" i="78" l="1"/>
  <c r="I6" i="78"/>
  <c r="D11" i="78" l="1"/>
  <c r="D25" i="78" s="1"/>
  <c r="E7" i="65" l="1"/>
  <c r="G7" i="65" s="1"/>
  <c r="D13" i="78" l="1"/>
  <c r="D27" i="78"/>
  <c r="F17" i="78" l="1"/>
  <c r="F3" i="78"/>
  <c r="F24" i="78" l="1"/>
  <c r="F10" i="78"/>
  <c r="E6" i="65" l="1"/>
  <c r="E40" i="65"/>
  <c r="G40" i="65" s="1"/>
  <c r="E41" i="65"/>
  <c r="G41" i="65" s="1"/>
  <c r="E42" i="65"/>
  <c r="G42" i="65" s="1"/>
  <c r="E43" i="65"/>
  <c r="G43" i="65" s="1"/>
  <c r="E44" i="65"/>
  <c r="G44" i="65" s="1"/>
  <c r="E45" i="65"/>
  <c r="G45" i="65" s="1"/>
  <c r="E46" i="65"/>
  <c r="G46" i="65" s="1"/>
  <c r="E47" i="65"/>
  <c r="G47" i="65" s="1"/>
  <c r="E48" i="65"/>
  <c r="G48" i="65" s="1"/>
  <c r="E49" i="65"/>
  <c r="G49" i="65" s="1"/>
  <c r="E50" i="65"/>
  <c r="G50" i="65" s="1"/>
  <c r="E51" i="65"/>
  <c r="G51" i="65" s="1"/>
  <c r="E52" i="65"/>
  <c r="G52" i="65" s="1"/>
  <c r="E53" i="65"/>
  <c r="G53" i="65" s="1"/>
  <c r="E54" i="65"/>
  <c r="G54" i="65" s="1"/>
  <c r="E55" i="65"/>
  <c r="G55" i="65" s="1"/>
  <c r="E56" i="65"/>
  <c r="G56" i="65" s="1"/>
  <c r="E57" i="65"/>
  <c r="G57" i="65" s="1"/>
  <c r="E58" i="65"/>
  <c r="G58" i="65" s="1"/>
  <c r="E59" i="65"/>
  <c r="G59" i="65" s="1"/>
  <c r="E60" i="65"/>
  <c r="G60" i="65" s="1"/>
  <c r="E61" i="65"/>
  <c r="G61" i="65" s="1"/>
  <c r="E62" i="65"/>
  <c r="G62" i="65" s="1"/>
  <c r="E63" i="65"/>
  <c r="G63" i="65" s="1"/>
  <c r="E39" i="65"/>
  <c r="E8" i="65"/>
  <c r="G8" i="65" s="1"/>
  <c r="E9" i="65"/>
  <c r="G9" i="65" s="1"/>
  <c r="E10" i="65"/>
  <c r="G10" i="65" s="1"/>
  <c r="E11" i="65"/>
  <c r="G11" i="65" s="1"/>
  <c r="E12" i="65"/>
  <c r="G12" i="65" s="1"/>
  <c r="E13" i="65"/>
  <c r="G13" i="65" s="1"/>
  <c r="E14" i="65"/>
  <c r="G14" i="65" s="1"/>
  <c r="E15" i="65"/>
  <c r="G15" i="65" s="1"/>
  <c r="E16" i="65"/>
  <c r="G16" i="65" s="1"/>
  <c r="E17" i="65"/>
  <c r="G17" i="65" s="1"/>
  <c r="E18" i="65"/>
  <c r="G18" i="65" s="1"/>
  <c r="E19" i="65"/>
  <c r="G19" i="65" s="1"/>
  <c r="E20" i="65"/>
  <c r="G20" i="65" s="1"/>
  <c r="E21" i="65"/>
  <c r="G21" i="65" s="1"/>
  <c r="E22" i="65"/>
  <c r="G22" i="65" s="1"/>
  <c r="E23" i="65"/>
  <c r="G23" i="65" s="1"/>
  <c r="E24" i="65"/>
  <c r="G24" i="65" s="1"/>
  <c r="E25" i="65"/>
  <c r="G25" i="65" s="1"/>
  <c r="E26" i="65"/>
  <c r="G26" i="65" s="1"/>
  <c r="E27" i="65"/>
  <c r="G27" i="65" s="1"/>
  <c r="E28" i="65"/>
  <c r="G28" i="65" s="1"/>
  <c r="E29" i="65"/>
  <c r="G29" i="65" s="1"/>
  <c r="E30" i="65"/>
  <c r="G30" i="65" s="1"/>
  <c r="G67" i="65" l="1"/>
  <c r="G66" i="65"/>
  <c r="V4" i="65" l="1"/>
  <c r="V5" i="65"/>
  <c r="V6" i="65"/>
  <c r="V7" i="65"/>
  <c r="V8" i="65"/>
  <c r="V9" i="65"/>
  <c r="V10" i="65"/>
  <c r="V11" i="65"/>
  <c r="V12" i="65"/>
  <c r="V13" i="65"/>
  <c r="V14" i="65"/>
  <c r="V15" i="65"/>
  <c r="V16" i="65"/>
  <c r="V17" i="65"/>
  <c r="V18" i="65"/>
  <c r="V19" i="65"/>
  <c r="V20" i="65"/>
  <c r="V21" i="65"/>
  <c r="V22" i="65"/>
  <c r="V23" i="65"/>
  <c r="V24" i="65"/>
  <c r="V25" i="65"/>
  <c r="V26" i="65"/>
  <c r="V27" i="65"/>
  <c r="V28" i="65"/>
  <c r="V29" i="65"/>
  <c r="V30" i="65"/>
  <c r="V31" i="65"/>
  <c r="V32" i="65"/>
  <c r="V33" i="65"/>
  <c r="V34" i="65"/>
  <c r="V35" i="65"/>
  <c r="V36" i="65"/>
  <c r="V37" i="65"/>
  <c r="V38" i="65"/>
  <c r="V39" i="65"/>
  <c r="V40" i="65"/>
  <c r="V41" i="65"/>
  <c r="V42" i="65"/>
  <c r="V43" i="65"/>
  <c r="V44" i="65"/>
  <c r="V45" i="65"/>
  <c r="V46" i="65"/>
  <c r="V47" i="65"/>
  <c r="V48" i="65"/>
  <c r="V49" i="65"/>
  <c r="V50" i="65"/>
  <c r="V51" i="65"/>
  <c r="V52" i="65"/>
  <c r="V53" i="65"/>
  <c r="AA6" i="65" l="1"/>
  <c r="AA5" i="65"/>
  <c r="Z6" i="65"/>
  <c r="Z7" i="65"/>
  <c r="Z8" i="65"/>
  <c r="Z9" i="65"/>
  <c r="Z10" i="65"/>
  <c r="Z11" i="65"/>
  <c r="Z12" i="65"/>
  <c r="Z13" i="65"/>
  <c r="Z14" i="65"/>
  <c r="Z15" i="65"/>
  <c r="Z16" i="65"/>
  <c r="Z17" i="65"/>
  <c r="Z18" i="65"/>
  <c r="Z19" i="65"/>
  <c r="Z20" i="65"/>
  <c r="Z21" i="65"/>
  <c r="Z22" i="65"/>
  <c r="Z23" i="65"/>
  <c r="Z24" i="65"/>
  <c r="Z25" i="65"/>
  <c r="Z26" i="65"/>
  <c r="Z27" i="65"/>
  <c r="Z28" i="65"/>
  <c r="Z29" i="65"/>
  <c r="Z30" i="65"/>
  <c r="Z31" i="65"/>
  <c r="Z32" i="65"/>
  <c r="Z33" i="65"/>
  <c r="Z34" i="65"/>
  <c r="Z35" i="65"/>
  <c r="Z36" i="65"/>
  <c r="Z37" i="65"/>
  <c r="Z38" i="65"/>
  <c r="Z39" i="65"/>
  <c r="Z40" i="65"/>
  <c r="Z41" i="65"/>
  <c r="Z42" i="65"/>
  <c r="Z43" i="65"/>
  <c r="Z44" i="65"/>
  <c r="Z45" i="65"/>
  <c r="Z46" i="65"/>
  <c r="Z47" i="65"/>
  <c r="Z48" i="65"/>
  <c r="Z49" i="65"/>
  <c r="Z50" i="65"/>
  <c r="Z51" i="65"/>
  <c r="Z52" i="65"/>
  <c r="Z53" i="65"/>
  <c r="Z5" i="65"/>
  <c r="W6" i="65"/>
  <c r="W5" i="65"/>
  <c r="AA4" i="65" l="1"/>
  <c r="W4" i="65"/>
  <c r="Z4" i="65"/>
  <c r="H6" i="78"/>
  <c r="H20" i="78"/>
  <c r="A41" i="65"/>
  <c r="A42" i="65"/>
  <c r="A43" i="65"/>
  <c r="A44" i="65"/>
  <c r="A45" i="65"/>
  <c r="A46" i="65"/>
  <c r="A47" i="65"/>
  <c r="A48" i="65"/>
  <c r="A49" i="65"/>
  <c r="A50" i="65"/>
  <c r="A51" i="65"/>
  <c r="A52" i="65"/>
  <c r="A53" i="65"/>
  <c r="A54" i="65"/>
  <c r="A55" i="65"/>
  <c r="A56" i="65"/>
  <c r="A57" i="65"/>
  <c r="A58" i="65"/>
  <c r="A59" i="65"/>
  <c r="A60" i="65"/>
  <c r="A61" i="65"/>
  <c r="A62" i="65"/>
  <c r="A63" i="65"/>
  <c r="A40" i="65"/>
  <c r="D40" i="65"/>
  <c r="D41" i="65" l="1"/>
  <c r="D42" i="65" s="1"/>
  <c r="AA7" i="65"/>
  <c r="AA8" i="65"/>
  <c r="AA11" i="65" l="1"/>
  <c r="AA12" i="65"/>
  <c r="AA10" i="65"/>
  <c r="AA9" i="65"/>
  <c r="D43" i="65"/>
  <c r="AA14" i="65" l="1"/>
  <c r="AA13" i="65"/>
  <c r="D44" i="65"/>
  <c r="AA15" i="65" l="1"/>
  <c r="AA16" i="65"/>
  <c r="D45" i="65"/>
  <c r="AA18" i="65" l="1"/>
  <c r="AA17" i="65"/>
  <c r="D46" i="65"/>
  <c r="AA20" i="65" l="1"/>
  <c r="AA19" i="65"/>
  <c r="D47" i="65"/>
  <c r="AA22" i="65" l="1"/>
  <c r="AA21" i="65"/>
  <c r="D48" i="65"/>
  <c r="AA23" i="65" l="1"/>
  <c r="AA24" i="65"/>
  <c r="D49" i="65"/>
  <c r="AA26" i="65" l="1"/>
  <c r="AA25" i="65"/>
  <c r="D50" i="65"/>
  <c r="AA28" i="65" l="1"/>
  <c r="AA27" i="65"/>
  <c r="D51" i="65"/>
  <c r="AA30" i="65" l="1"/>
  <c r="AA29" i="65"/>
  <c r="D52" i="65"/>
  <c r="AA31" i="65" l="1"/>
  <c r="AA32" i="65"/>
  <c r="D53" i="65"/>
  <c r="AA34" i="65" l="1"/>
  <c r="AA33" i="65"/>
  <c r="D54" i="65"/>
  <c r="AA36" i="65" l="1"/>
  <c r="AA35" i="65"/>
  <c r="D55" i="65"/>
  <c r="AA38" i="65" l="1"/>
  <c r="AA37" i="65"/>
  <c r="D56" i="65"/>
  <c r="AA39" i="65" l="1"/>
  <c r="AA40" i="65"/>
  <c r="D57" i="65"/>
  <c r="AA42" i="65" l="1"/>
  <c r="AA41" i="65"/>
  <c r="D58" i="65"/>
  <c r="AA44" i="65" l="1"/>
  <c r="AA43" i="65"/>
  <c r="D59" i="65"/>
  <c r="AA46" i="65" l="1"/>
  <c r="AA45" i="65"/>
  <c r="D60" i="65"/>
  <c r="AA47" i="65" l="1"/>
  <c r="AA48" i="65"/>
  <c r="D61" i="65"/>
  <c r="AA50" i="65" l="1"/>
  <c r="AA49" i="65"/>
  <c r="D62" i="65"/>
  <c r="AA52" i="65" l="1"/>
  <c r="AA51" i="65"/>
  <c r="D63" i="65"/>
  <c r="AA53" i="65" s="1"/>
  <c r="AA54" i="65" s="1"/>
  <c r="A8" i="65" l="1"/>
  <c r="A9" i="65"/>
  <c r="A10" i="65"/>
  <c r="A11" i="65"/>
  <c r="A12" i="65"/>
  <c r="A13" i="65"/>
  <c r="A14" i="65"/>
  <c r="A15" i="65"/>
  <c r="A16" i="65"/>
  <c r="A17" i="65"/>
  <c r="A18" i="65"/>
  <c r="A19" i="65"/>
  <c r="A20" i="65"/>
  <c r="A21" i="65"/>
  <c r="A22" i="65"/>
  <c r="A23" i="65"/>
  <c r="A24" i="65"/>
  <c r="A25" i="65"/>
  <c r="A26" i="65"/>
  <c r="A27" i="65"/>
  <c r="A28" i="65"/>
  <c r="A29" i="65"/>
  <c r="A30" i="65"/>
  <c r="A7" i="65"/>
  <c r="D7" i="65" l="1"/>
  <c r="W8" i="65" l="1"/>
  <c r="W7" i="65"/>
  <c r="D8" i="65"/>
  <c r="W9" i="65" l="1"/>
  <c r="W10" i="65"/>
  <c r="D9" i="65"/>
  <c r="W12" i="65" l="1"/>
  <c r="W11" i="65"/>
  <c r="D10" i="65"/>
  <c r="W13" i="65" l="1"/>
  <c r="W14" i="65"/>
  <c r="D11" i="65"/>
  <c r="W16" i="65" l="1"/>
  <c r="W15" i="65"/>
  <c r="D12" i="65"/>
  <c r="W17" i="65" l="1"/>
  <c r="W18" i="65"/>
  <c r="D13" i="65"/>
  <c r="W20" i="65" l="1"/>
  <c r="W19" i="65"/>
  <c r="D14" i="65"/>
  <c r="W21" i="65" l="1"/>
  <c r="W22" i="65"/>
  <c r="D15" i="65"/>
  <c r="W24" i="65" l="1"/>
  <c r="W23" i="65"/>
  <c r="D16" i="65"/>
  <c r="W26" i="65" l="1"/>
  <c r="W25" i="65"/>
  <c r="D17" i="65"/>
  <c r="W28" i="65" l="1"/>
  <c r="W27" i="65"/>
  <c r="D18" i="65"/>
  <c r="W29" i="65" l="1"/>
  <c r="W30" i="65"/>
  <c r="J7" i="78"/>
  <c r="D7" i="78" s="1"/>
  <c r="J21" i="78"/>
  <c r="J6" i="78"/>
  <c r="D6" i="78" s="1"/>
  <c r="J20" i="78"/>
  <c r="D20" i="78" s="1"/>
  <c r="D19" i="65"/>
  <c r="D9" i="78" l="1"/>
  <c r="F4" i="78" s="1"/>
  <c r="D21" i="78"/>
  <c r="D23" i="78" s="1"/>
  <c r="W31" i="65"/>
  <c r="D20" i="65"/>
  <c r="W32" i="65" s="1"/>
  <c r="F18" i="78" l="1"/>
  <c r="B2" i="81" s="1"/>
  <c r="W33" i="65"/>
  <c r="D21" i="65"/>
  <c r="W34" i="65" s="1"/>
  <c r="W35" i="65" l="1"/>
  <c r="D22" i="65"/>
  <c r="W36" i="65" s="1"/>
  <c r="W37" i="65" l="1"/>
  <c r="D23" i="65"/>
  <c r="W38" i="65" s="1"/>
  <c r="W39" i="65" l="1"/>
  <c r="D24" i="65"/>
  <c r="W40" i="65" s="1"/>
  <c r="W41" i="65" l="1"/>
  <c r="W42" i="65"/>
  <c r="D25" i="65"/>
  <c r="W44" i="65" l="1"/>
  <c r="W43" i="65"/>
  <c r="D26" i="65"/>
  <c r="W45" i="65" l="1"/>
  <c r="W46" i="65"/>
  <c r="D27" i="65"/>
  <c r="W48" i="65" l="1"/>
  <c r="W47" i="65"/>
  <c r="D28" i="65"/>
  <c r="W50" i="65" l="1"/>
  <c r="W49" i="65"/>
  <c r="D29" i="65"/>
  <c r="W52" i="65" l="1"/>
  <c r="W51" i="65"/>
  <c r="D30" i="65"/>
  <c r="W53" i="65" l="1"/>
  <c r="W54" i="6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Guillaume Monnerie</author>
  </authors>
  <commentList>
    <comment ref="H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Guillaume Monnerie:</t>
        </r>
        <r>
          <rPr>
            <sz val="9"/>
            <color indexed="81"/>
            <rFont val="Tahoma"/>
            <family val="2"/>
          </rPr>
          <t xml:space="preserve">
Measured LMA @ 1.5A/m</t>
        </r>
      </text>
    </comment>
    <comment ref="I7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Guillaume Monnerie:
</t>
        </r>
        <r>
          <rPr>
            <b/>
            <sz val="9"/>
            <color indexed="81"/>
            <rFont val="Tahoma"/>
            <family val="2"/>
          </rPr>
          <t>Measured index @ 1.5A/m</t>
        </r>
      </text>
    </comment>
    <comment ref="H2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Guillaume Monnerie:</t>
        </r>
        <r>
          <rPr>
            <sz val="9"/>
            <color indexed="81"/>
            <rFont val="Tahoma"/>
            <family val="2"/>
          </rPr>
          <t xml:space="preserve">
Measured LMA @ 1.5A/m</t>
        </r>
      </text>
    </comment>
    <comment ref="I21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Guillaume Monnerie:
</t>
        </r>
        <r>
          <rPr>
            <b/>
            <sz val="9"/>
            <color indexed="81"/>
            <rFont val="Tahoma"/>
            <family val="2"/>
          </rPr>
          <t>Measured index @ 1.5A/m</t>
        </r>
      </text>
    </comment>
  </commentList>
</comments>
</file>

<file path=xl/sharedStrings.xml><?xml version="1.0" encoding="utf-8"?>
<sst xmlns="http://schemas.openxmlformats.org/spreadsheetml/2006/main" count="265" uniqueCount="156">
  <si>
    <t>[00]: Res.Carrier=100, ModIndex=0</t>
  </si>
  <si>
    <t>[01]: Res.Carrier=98, ModIndex=1.01</t>
  </si>
  <si>
    <t>[02]: Res.Carrier=96, ModIndex=2.04</t>
  </si>
  <si>
    <t>[03]: Res.Carrier=94, ModIndex=3.09</t>
  </si>
  <si>
    <t>[04]: Res.Carrier=91, ModIndex=4.71</t>
  </si>
  <si>
    <t>[05]: Res.Carrier=89, ModIndex=5.82</t>
  </si>
  <si>
    <t>[06]: Res.Carrier=87, ModIndex=6.95</t>
  </si>
  <si>
    <t>[08]: Res.Carrier=85, ModIndex=8.11</t>
  </si>
  <si>
    <t>[10]: Res.Carrier=83, ModIndex=9.29</t>
  </si>
  <si>
    <t>[11]: Res.Carrier=82, ModIndex=9.89</t>
  </si>
  <si>
    <t>[12]: Res.Carrier=81, ModIndex=10.5</t>
  </si>
  <si>
    <t>[14]: Res.Carrier=79, ModIndex=11.73</t>
  </si>
  <si>
    <t>[16]: Res.Carrier=77, ModIndex=12.99</t>
  </si>
  <si>
    <t>[17]: Res.Carrier=76, ModIndex=12.99</t>
  </si>
  <si>
    <t>[18]: Res.Carrier=75, ModIndex=14.29</t>
  </si>
  <si>
    <t>[20]: Res.Carrier=72, ModIndex=16.28</t>
  </si>
  <si>
    <t>[21]: Res.Carrier=70, ModIndex=17.65</t>
  </si>
  <si>
    <t>(-)</t>
  </si>
  <si>
    <t>Field strength (A/m)</t>
  </si>
  <si>
    <t>TxLDO (V)</t>
  </si>
  <si>
    <t>TX_AMP (mV)</t>
  </si>
  <si>
    <t>Units</t>
  </si>
  <si>
    <t>Modulation Index</t>
  </si>
  <si>
    <t>Modulation index config</t>
  </si>
  <si>
    <t>(input)</t>
  </si>
  <si>
    <t>(calculation)</t>
  </si>
  <si>
    <t>Platform Configuration</t>
  </si>
  <si>
    <t>BPSK Active</t>
  </si>
  <si>
    <t>Dialed Input</t>
  </si>
  <si>
    <t>ID</t>
  </si>
  <si>
    <t>Yes</t>
  </si>
  <si>
    <t>(pre-defined)</t>
  </si>
  <si>
    <t>LMA/TX (reference)</t>
  </si>
  <si>
    <t>LMA/TX (target platform)</t>
  </si>
  <si>
    <t>Calculated RSSI code (hex)</t>
  </si>
  <si>
    <t>(V)</t>
  </si>
  <si>
    <t>Num Drivers</t>
  </si>
  <si>
    <t>LMA (mVpp)</t>
  </si>
  <si>
    <t>NCI LUT cmd</t>
  </si>
  <si>
    <t>Seq.</t>
  </si>
  <si>
    <t>Res. Carrier</t>
  </si>
  <si>
    <t>TYPE A+B</t>
  </si>
  <si>
    <t>TYPE F</t>
  </si>
  <si>
    <t>Enable</t>
  </si>
  <si>
    <t xml:space="preserve"> </t>
  </si>
  <si>
    <t>RSSI @ 5A/m  (target platform)</t>
  </si>
  <si>
    <r>
      <t>Phase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</si>
  <si>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t>00</t>
  </si>
  <si>
    <t>01</t>
  </si>
  <si>
    <t>03</t>
  </si>
  <si>
    <t>02</t>
  </si>
  <si>
    <t>06</t>
  </si>
  <si>
    <t>05</t>
  </si>
  <si>
    <t>10</t>
  </si>
  <si>
    <t>20</t>
  </si>
  <si>
    <t>11</t>
  </si>
  <si>
    <t>18</t>
  </si>
  <si>
    <t>12</t>
  </si>
  <si>
    <t>04</t>
  </si>
  <si>
    <t>08</t>
  </si>
  <si>
    <t>16</t>
  </si>
  <si>
    <t>17</t>
  </si>
  <si>
    <t>21</t>
  </si>
  <si>
    <t>14</t>
  </si>
  <si>
    <t>DLMA_CTRL</t>
  </si>
  <si>
    <t>DLMA_RSSI</t>
  </si>
  <si>
    <t>DLMA_TX</t>
  </si>
  <si>
    <t>DLMA table control</t>
  </si>
  <si>
    <t>DLMA_ENA_SINGLE_TX_AB</t>
  </si>
  <si>
    <t>DLMA LMA entry Index (hex)</t>
  </si>
  <si>
    <t>DLMA_ENA_BPSK_AB</t>
  </si>
  <si>
    <t>DLMA_LMA_TX_SHIFT_AB</t>
  </si>
  <si>
    <t>DLMA_LIMIT_TXLDO_AB</t>
  </si>
  <si>
    <t>DLMA_RSSI_H_SCALE_AB</t>
  </si>
  <si>
    <t>DLMA_ENA_SINGLE_TX_F</t>
  </si>
  <si>
    <t>DLMA_ENA_BPSK_F</t>
  </si>
  <si>
    <t>DLMA_LMA_TX_SHIFT_F</t>
  </si>
  <si>
    <t>DLMA_LIMIT_TXLDO_F</t>
  </si>
  <si>
    <t>DLMA_RSSI_H_SCALE_F</t>
  </si>
  <si>
    <t>DLMA Table ID Power/Phase Control Table</t>
  </si>
  <si>
    <t>RSSI TX Default settings?</t>
  </si>
  <si>
    <t>dwTxParamEntry_00</t>
  </si>
  <si>
    <t>dwTxParamEntry_01</t>
  </si>
  <si>
    <t>dwTxParamEntry_02</t>
  </si>
  <si>
    <t>dwTxParamEntry_03</t>
  </si>
  <si>
    <t>dwTxParamEntry_04</t>
  </si>
  <si>
    <t>dwTxParamEntry_05</t>
  </si>
  <si>
    <t>dwTxParamEntry_06</t>
  </si>
  <si>
    <t>dwTxParamEntry_07</t>
  </si>
  <si>
    <t>dwTxParamEntry_08</t>
  </si>
  <si>
    <t>dwTxParamEntry_09</t>
  </si>
  <si>
    <t>dwTxParamEntry_0A</t>
  </si>
  <si>
    <t>dwTxParamEntry_0B</t>
  </si>
  <si>
    <t>dwTxParamEntry_0C</t>
  </si>
  <si>
    <t>dwTxParamEntry_0D</t>
  </si>
  <si>
    <t>dwTxParamEntry_0E</t>
  </si>
  <si>
    <t>dwTxParamEntry_0F</t>
  </si>
  <si>
    <t>dwTxParamEntry_10</t>
  </si>
  <si>
    <t>dwTxParamEntry_11</t>
  </si>
  <si>
    <t>dwTxParamEntry_12</t>
  </si>
  <si>
    <t>dwTxParamEntry_13</t>
  </si>
  <si>
    <t>dwTxParamEntry_14</t>
  </si>
  <si>
    <t>dwTxParamEntry_15</t>
  </si>
  <si>
    <t>dwTxParamEntry_16</t>
  </si>
  <si>
    <t>dwTxParamEntry_17</t>
  </si>
  <si>
    <t>dwTxParamEntry_18</t>
  </si>
  <si>
    <t>dwTxParamEntry_19</t>
  </si>
  <si>
    <t>dwTxParamEntry_1A</t>
  </si>
  <si>
    <t>dwTxParamEntry_1B</t>
  </si>
  <si>
    <t>dwTxParamEntry_1C</t>
  </si>
  <si>
    <t>dwTxParamEntry_1D</t>
  </si>
  <si>
    <t>dwTxParamEntry_1E</t>
  </si>
  <si>
    <t>dwTxParamEntry_1F</t>
  </si>
  <si>
    <t>dwTxParamEntry_20</t>
  </si>
  <si>
    <t>dwTxParamEntry_21</t>
  </si>
  <si>
    <t>dwTxParamEntry_22</t>
  </si>
  <si>
    <t>dwTxParamEntry_23</t>
  </si>
  <si>
    <t>dwTxParamEntry_24</t>
  </si>
  <si>
    <t>dwTxParamEntry_25</t>
  </si>
  <si>
    <t>dwTxParamEntry_26</t>
  </si>
  <si>
    <t>dwTxParamEntry_27</t>
  </si>
  <si>
    <t>TYPE A&amp;B</t>
  </si>
  <si>
    <t>Phase Compensation</t>
  </si>
  <si>
    <t>TYPE F - AGC</t>
  </si>
  <si>
    <t>TYPE A&amp;B - AGC</t>
  </si>
  <si>
    <t>TYPE F   -  TX</t>
  </si>
  <si>
    <t>TYPE A&amp;B   -  TX</t>
  </si>
  <si>
    <t>MANUAL TX SHIFT AB</t>
  </si>
  <si>
    <t>MANUAL RSSI SCALE AB</t>
  </si>
  <si>
    <t>[09]: Res.Carrier=84, ModIndex=8.7</t>
  </si>
  <si>
    <t>[23]: Res.Carrier=65, ModIndex=21.21</t>
  </si>
  <si>
    <t>09</t>
  </si>
  <si>
    <t>23</t>
  </si>
  <si>
    <t>Equiv TX (Vpp)</t>
  </si>
  <si>
    <t>Equiv TX One Driver (Vpp)</t>
  </si>
  <si>
    <r>
      <t>Abritrary Phase Comp. (</t>
    </r>
    <r>
      <rPr>
        <b/>
        <sz val="11"/>
        <color theme="1"/>
        <rFont val="Calibri"/>
        <family val="2"/>
      </rPr>
      <t>±127° | step 1°)</t>
    </r>
  </si>
  <si>
    <t>@1.5A/m</t>
  </si>
  <si>
    <t>@5A/m</t>
  </si>
  <si>
    <t>Equiv TX Voltage (Vpp)</t>
  </si>
  <si>
    <t>6F360C1F001F000003000303C04206</t>
  </si>
  <si>
    <t>No</t>
  </si>
  <si>
    <t>Revision</t>
  </si>
  <si>
    <t>Date</t>
  </si>
  <si>
    <t>Description</t>
  </si>
  <si>
    <t>1.0</t>
  </si>
  <si>
    <t xml:space="preserve">20 02 A4 01 A0 A9 A0 00 C1 00 0A 01 80 41 0A 02 81 83 0A 03 C0 42 06 04 80 46 06 05 C3 01 03 06 C2 05 03 07 C2 4A 03 07 81 01 01 08 C3 8B 03 08 C3 05 01 09 C3 92 03 09 C6 84 01 0A C4 CC 03 0A C6 89 01 0B C5 D4 03 0B C7 92 01 0C 44 00 03 0C C7 C6 01 0D 42 04 03 0D C9 CE 01 0E 42 48 03 0E 03 00 01 0F 43 50 03 0F 43 04 01 10 43 91 03 10 45 0A 01 11 44 95 03 11 46 11 01 12 46 8E 01 13 47 C5 01 14 48 CC 01 15 4B D4 01 16 4E D7 01 17 45 A2 01 18 46 A6 01 19 46 AE 01 1A 47 B4 01 1B 48 EA 01 1C 49 F0 01 </t>
  </si>
  <si>
    <t>Target (Type F)</t>
  </si>
  <si>
    <t>Target (Type A+B)</t>
  </si>
  <si>
    <t>6F360C770177010104001712468E01</t>
  </si>
  <si>
    <t>6F360C920092000103001712468E01</t>
  </si>
  <si>
    <t>Unscaled RSSI</t>
  </si>
  <si>
    <t>Scaled RSSI</t>
  </si>
  <si>
    <t>(hex)</t>
  </si>
  <si>
    <t>(dec)</t>
  </si>
  <si>
    <t>myID</t>
  </si>
  <si>
    <t xml:space="preserve">Initial version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</si>
</sst>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yyyy\-mm\-dd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3F3F76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gray125">
        <fgColor theme="0" tint="-0.24994659260841701"/>
        <bgColor rgb="FFF2F2F2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theme="0"/>
      </patternFill>
    </fill>
    <fill>
      <patternFill patternType="lightDown"/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7" fillId="8" borderId="1" applyNumberFormat="0" applyAlignment="0" applyProtection="0"/>
    <xf numFmtId="0" fontId="8" fillId="9" borderId="1" applyNumberFormat="0" applyAlignment="0" applyProtection="0"/>
    <xf numFmtId="0" fontId="12" fillId="0" borderId="0"/>
    <xf numFmtId="0" fontId="6" fillId="0" borderId="0"/>
    <xf numFmtId="0" fontId="13" fillId="10" borderId="0" applyNumberFormat="0" applyBorder="0" applyAlignment="0" applyProtection="0"/>
  </cellStyleXfs>
  <cellXfs count="103">
    <xf numFmtId="0" fontId="0" fillId="0" borderId="0" xfId="0"/>
    <xf numFmtId="0" fontId="0" fillId="5" borderId="0" xfId="0" applyFill="1"/>
    <xf numFmtId="0" fontId="0" fillId="0" borderId="0" xfId="0" applyAlignment="1">
      <alignment horizontal="center"/>
    </xf>
    <xf numFmtId="0" fontId="0" fillId="6" borderId="0" xfId="0" applyFill="1"/>
    <xf numFmtId="0" fontId="3" fillId="5" borderId="0" xfId="0" applyFont="1" applyFill="1"/>
    <xf numFmtId="0" fontId="3" fillId="4" borderId="0" xfId="0" applyFont="1" applyFill="1"/>
    <xf numFmtId="0" fontId="3" fillId="7" borderId="0" xfId="0" applyFont="1" applyFill="1"/>
    <xf numFmtId="0" fontId="4" fillId="6" borderId="0" xfId="0" applyFont="1" applyFill="1"/>
    <xf numFmtId="2" fontId="0" fillId="0" borderId="0" xfId="0" applyNumberFormat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3" fillId="11" borderId="0" xfId="0" applyFont="1" applyFill="1"/>
    <xf numFmtId="2" fontId="0" fillId="13" borderId="0" xfId="0" applyNumberFormat="1" applyFill="1"/>
    <xf numFmtId="0" fontId="2" fillId="0" borderId="0" xfId="0" applyFont="1"/>
    <xf numFmtId="164" fontId="0" fillId="0" borderId="0" xfId="0" applyNumberFormat="1" applyAlignment="1">
      <alignment vertical="center"/>
    </xf>
    <xf numFmtId="0" fontId="2" fillId="0" borderId="0" xfId="0" applyFont="1" applyAlignment="1">
      <alignment horizontal="left"/>
    </xf>
    <xf numFmtId="1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2" fillId="14" borderId="2" xfId="2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 vertical="center"/>
    </xf>
    <xf numFmtId="0" fontId="0" fillId="15" borderId="0" xfId="0" applyFill="1"/>
    <xf numFmtId="0" fontId="1" fillId="13" borderId="0" xfId="0" applyFont="1" applyFill="1"/>
    <xf numFmtId="0" fontId="15" fillId="16" borderId="0" xfId="0" applyFont="1" applyFill="1"/>
    <xf numFmtId="0" fontId="15" fillId="17" borderId="0" xfId="0" applyFont="1" applyFill="1"/>
    <xf numFmtId="0" fontId="0" fillId="15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13" borderId="0" xfId="0" applyFont="1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7" borderId="0" xfId="0" applyFont="1" applyFill="1" applyAlignment="1">
      <alignment vertical="center" wrapText="1"/>
    </xf>
    <xf numFmtId="0" fontId="1" fillId="11" borderId="0" xfId="0" applyFont="1" applyFill="1" applyAlignment="1">
      <alignment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3" fillId="18" borderId="2" xfId="2" applyFont="1" applyFill="1" applyBorder="1" applyAlignment="1">
      <alignment horizontal="right"/>
    </xf>
    <xf numFmtId="0" fontId="3" fillId="3" borderId="2" xfId="1" applyFont="1" applyFill="1" applyBorder="1" applyAlignment="1">
      <alignment horizontal="right"/>
    </xf>
    <xf numFmtId="0" fontId="3" fillId="3" borderId="2" xfId="0" applyFont="1" applyFill="1" applyBorder="1"/>
    <xf numFmtId="0" fontId="3" fillId="3" borderId="2" xfId="1" applyFont="1" applyFill="1" applyBorder="1" applyAlignment="1">
      <alignment horizontal="right" vertical="center"/>
    </xf>
    <xf numFmtId="2" fontId="2" fillId="14" borderId="2" xfId="2" applyNumberFormat="1" applyFont="1" applyFill="1" applyBorder="1" applyAlignment="1" applyProtection="1">
      <alignment horizontal="center"/>
    </xf>
    <xf numFmtId="2" fontId="3" fillId="3" borderId="2" xfId="0" applyNumberFormat="1" applyFont="1" applyFill="1" applyBorder="1" applyAlignment="1">
      <alignment horizontal="center"/>
    </xf>
    <xf numFmtId="1" fontId="2" fillId="14" borderId="2" xfId="2" applyNumberFormat="1" applyFont="1" applyFill="1" applyBorder="1" applyAlignment="1" applyProtection="1">
      <alignment horizontal="center"/>
    </xf>
    <xf numFmtId="0" fontId="7" fillId="2" borderId="1" xfId="1" applyFill="1" applyAlignment="1">
      <alignment horizontal="left"/>
    </xf>
    <xf numFmtId="0" fontId="7" fillId="2" borderId="1" xfId="1" applyFill="1" applyAlignment="1" applyProtection="1">
      <alignment horizontal="left"/>
    </xf>
    <xf numFmtId="0" fontId="0" fillId="15" borderId="0" xfId="0" applyFill="1" applyProtection="1"/>
    <xf numFmtId="2" fontId="3" fillId="3" borderId="14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2" fontId="2" fillId="14" borderId="13" xfId="2" applyNumberFormat="1" applyFont="1" applyFill="1" applyBorder="1" applyAlignment="1" applyProtection="1">
      <alignment horizontal="center"/>
    </xf>
    <xf numFmtId="1" fontId="2" fillId="14" borderId="13" xfId="2" applyNumberFormat="1" applyFont="1" applyFill="1" applyBorder="1" applyAlignment="1" applyProtection="1">
      <alignment horizontal="center"/>
    </xf>
    <xf numFmtId="1" fontId="2" fillId="14" borderId="6" xfId="2" applyNumberFormat="1" applyFont="1" applyFill="1" applyBorder="1" applyAlignment="1" applyProtection="1">
      <alignment horizontal="center"/>
    </xf>
    <xf numFmtId="0" fontId="3" fillId="3" borderId="2" xfId="1" applyFont="1" applyFill="1" applyBorder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</xf>
    <xf numFmtId="0" fontId="0" fillId="0" borderId="0" xfId="0" applyProtection="1"/>
    <xf numFmtId="0" fontId="1" fillId="2" borderId="0" xfId="0" applyFont="1" applyFill="1" applyAlignment="1" applyProtection="1">
      <alignment wrapText="1"/>
    </xf>
    <xf numFmtId="0" fontId="0" fillId="2" borderId="0" xfId="0" applyFont="1" applyFill="1" applyAlignment="1" applyProtection="1">
      <alignment horizontal="left" wrapText="1"/>
    </xf>
    <xf numFmtId="0" fontId="2" fillId="0" borderId="0" xfId="0" applyFont="1" applyAlignment="1" applyProtection="1">
      <alignment horizontal="center"/>
    </xf>
    <xf numFmtId="164" fontId="0" fillId="0" borderId="0" xfId="0" applyNumberFormat="1" applyProtection="1"/>
    <xf numFmtId="0" fontId="0" fillId="0" borderId="0" xfId="0" applyFont="1" applyFill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1" fillId="15" borderId="2" xfId="0" applyFont="1" applyFill="1" applyBorder="1" applyAlignment="1" applyProtection="1">
      <alignment horizontal="right" wrapText="1"/>
    </xf>
    <xf numFmtId="0" fontId="0" fillId="0" borderId="0" xfId="0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2" borderId="0" xfId="0" applyFont="1" applyFill="1" applyAlignment="1" applyProtection="1">
      <alignment wrapText="1"/>
    </xf>
    <xf numFmtId="2" fontId="0" fillId="0" borderId="3" xfId="0" applyNumberFormat="1" applyBorder="1" applyProtection="1"/>
    <xf numFmtId="2" fontId="0" fillId="0" borderId="4" xfId="0" applyNumberFormat="1" applyBorder="1" applyProtection="1"/>
    <xf numFmtId="0" fontId="3" fillId="0" borderId="0" xfId="0" applyFont="1" applyFill="1" applyAlignment="1" applyProtection="1">
      <alignment horizontal="center"/>
    </xf>
    <xf numFmtId="164" fontId="2" fillId="0" borderId="0" xfId="0" applyNumberFormat="1" applyFont="1" applyFill="1" applyAlignment="1" applyProtection="1">
      <alignment horizontal="center"/>
    </xf>
    <xf numFmtId="0" fontId="2" fillId="15" borderId="2" xfId="0" applyFont="1" applyFill="1" applyBorder="1" applyAlignment="1" applyProtection="1">
      <alignment horizontal="left"/>
    </xf>
    <xf numFmtId="0" fontId="7" fillId="2" borderId="1" xfId="1" applyFill="1" applyAlignment="1">
      <alignment horizontal="right" wrapText="1"/>
    </xf>
    <xf numFmtId="0" fontId="2" fillId="15" borderId="7" xfId="0" applyFont="1" applyFill="1" applyBorder="1" applyAlignment="1" applyProtection="1">
      <alignment horizontal="left"/>
    </xf>
    <xf numFmtId="2" fontId="0" fillId="19" borderId="5" xfId="0" applyNumberFormat="1" applyFill="1" applyBorder="1" applyProtection="1"/>
    <xf numFmtId="2" fontId="0" fillId="19" borderId="6" xfId="0" applyNumberFormat="1" applyFill="1" applyBorder="1" applyProtection="1"/>
    <xf numFmtId="0" fontId="17" fillId="2" borderId="1" xfId="1" applyFont="1" applyFill="1" applyAlignment="1" applyProtection="1">
      <alignment horizontal="left"/>
    </xf>
    <xf numFmtId="1" fontId="3" fillId="3" borderId="2" xfId="0" applyNumberFormat="1" applyFont="1" applyFill="1" applyBorder="1"/>
    <xf numFmtId="1" fontId="3" fillId="3" borderId="2" xfId="0" applyNumberFormat="1" applyFont="1" applyFill="1" applyBorder="1" applyAlignment="1">
      <alignment horizontal="center"/>
    </xf>
    <xf numFmtId="0" fontId="0" fillId="20" borderId="2" xfId="0" applyFill="1" applyBorder="1"/>
    <xf numFmtId="0" fontId="0" fillId="0" borderId="2" xfId="0" quotePrefix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14" borderId="4" xfId="2" applyNumberFormat="1" applyFont="1" applyFill="1" applyBorder="1" applyAlignment="1" applyProtection="1">
      <alignment horizontal="center"/>
    </xf>
    <xf numFmtId="165" fontId="0" fillId="0" borderId="2" xfId="0" applyNumberFormat="1" applyBorder="1"/>
    <xf numFmtId="0" fontId="14" fillId="10" borderId="0" xfId="5" applyFont="1" applyAlignment="1">
      <alignment horizontal="center"/>
    </xf>
    <xf numFmtId="0" fontId="0" fillId="15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7" fillId="2" borderId="15" xfId="1" applyFont="1" applyFill="1" applyBorder="1" applyAlignment="1">
      <alignment horizontal="right"/>
    </xf>
    <xf numFmtId="0" fontId="17" fillId="2" borderId="16" xfId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15" borderId="9" xfId="0" applyFont="1" applyFill="1" applyBorder="1" applyAlignment="1">
      <alignment horizontal="center" vertical="center"/>
    </xf>
    <xf numFmtId="0" fontId="0" fillId="15" borderId="7" xfId="0" applyFont="1" applyFill="1" applyBorder="1" applyAlignment="1">
      <alignment horizontal="center" vertical="center"/>
    </xf>
    <xf numFmtId="0" fontId="0" fillId="15" borderId="8" xfId="0" applyFont="1" applyFill="1" applyBorder="1" applyAlignment="1">
      <alignment horizontal="center" vertical="center"/>
    </xf>
    <xf numFmtId="0" fontId="9" fillId="12" borderId="0" xfId="0" applyFont="1" applyFill="1" applyAlignment="1" applyProtection="1">
      <alignment horizontal="center" wrapText="1"/>
    </xf>
    <xf numFmtId="0" fontId="1" fillId="2" borderId="0" xfId="0" applyFont="1" applyFill="1" applyAlignment="1" applyProtection="1">
      <alignment horizontal="center" wrapText="1"/>
    </xf>
    <xf numFmtId="0" fontId="14" fillId="10" borderId="0" xfId="5" applyFont="1" applyAlignment="1" applyProtection="1">
      <alignment horizontal="center"/>
    </xf>
  </cellXfs>
  <cellStyles count="6">
    <cellStyle name="Accent1" xfId="5" builtinId="29"/>
    <cellStyle name="Calculation" xfId="2" builtinId="22"/>
    <cellStyle name="Input" xfId="1" builtinId="20"/>
    <cellStyle name="Normal" xfId="0" builtinId="0"/>
    <cellStyle name="Normal 2" xfId="3" xr:uid="{00000000-0005-0000-0000-000004000000}"/>
    <cellStyle name="Normal 2 2" xfId="4" xr:uid="{00000000-0005-0000-0000-000005000000}"/>
  </cellStyles>
  <dxfs count="6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LMA (Type A+B)</a:t>
            </a:r>
          </a:p>
        </c:rich>
      </c:tx>
      <c:layout>
        <c:manualLayout>
          <c:xMode val="edge"/>
          <c:yMode val="edge"/>
          <c:x val="0.39439689986649096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305927908517783"/>
          <c:y val="7.8509678430620136E-2"/>
          <c:w val="0.85872971802361109"/>
          <c:h val="0.84111682040063629"/>
        </c:manualLayout>
      </c:layout>
      <c:scatterChart>
        <c:scatterStyle val="lineMarker"/>
        <c:varyColors val="0"/>
        <c:ser>
          <c:idx val="2"/>
          <c:order val="0"/>
          <c:tx>
            <c:strRef>
              <c:f>'DLMA RSSI Settings'!$D$4</c:f>
              <c:strCache>
                <c:ptCount val="1"/>
                <c:pt idx="0">
                  <c:v>Target (Type A+B)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'DLMA RSSI Settings'!$V$5:$V$54</c:f>
              <c:numCache>
                <c:formatCode>0.00</c:formatCode>
                <c:ptCount val="50"/>
                <c:pt idx="0">
                  <c:v>0</c:v>
                </c:pt>
                <c:pt idx="1">
                  <c:v>0.7</c:v>
                </c:pt>
                <c:pt idx="2">
                  <c:v>0.7</c:v>
                </c:pt>
                <c:pt idx="3">
                  <c:v>1</c:v>
                </c:pt>
                <c:pt idx="4">
                  <c:v>1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2</c:v>
                </c:pt>
                <c:pt idx="10">
                  <c:v>2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3</c:v>
                </c:pt>
                <c:pt idx="16">
                  <c:v>3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4.5</c:v>
                </c:pt>
                <c:pt idx="26">
                  <c:v>4.5</c:v>
                </c:pt>
                <c:pt idx="27">
                  <c:v>4.5</c:v>
                </c:pt>
                <c:pt idx="28">
                  <c:v>4.5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50</c:v>
                </c:pt>
              </c:numCache>
            </c:numRef>
          </c:xVal>
          <c:yVal>
            <c:numRef>
              <c:f>'DLMA RSSI Settings'!$W$5:$W$54</c:f>
              <c:numCache>
                <c:formatCode>0.00</c:formatCode>
                <c:ptCount val="50"/>
                <c:pt idx="0">
                  <c:v>65</c:v>
                </c:pt>
                <c:pt idx="1">
                  <c:v>65</c:v>
                </c:pt>
                <c:pt idx="2">
                  <c:v>59.090909090909086</c:v>
                </c:pt>
                <c:pt idx="3">
                  <c:v>59.090909090909086</c:v>
                </c:pt>
                <c:pt idx="4">
                  <c:v>53.719008264462801</c:v>
                </c:pt>
                <c:pt idx="5">
                  <c:v>53.719008264462801</c:v>
                </c:pt>
                <c:pt idx="6">
                  <c:v>48.835462058602545</c:v>
                </c:pt>
                <c:pt idx="7">
                  <c:v>48.835462058602545</c:v>
                </c:pt>
                <c:pt idx="8">
                  <c:v>44.395874598729584</c:v>
                </c:pt>
                <c:pt idx="9">
                  <c:v>44.395874598729584</c:v>
                </c:pt>
                <c:pt idx="10">
                  <c:v>40.359885998845073</c:v>
                </c:pt>
                <c:pt idx="11">
                  <c:v>40.359885998845073</c:v>
                </c:pt>
                <c:pt idx="12">
                  <c:v>36.690805453495514</c:v>
                </c:pt>
                <c:pt idx="13">
                  <c:v>36.690805453495514</c:v>
                </c:pt>
                <c:pt idx="14">
                  <c:v>33.355277684995919</c:v>
                </c:pt>
                <c:pt idx="15">
                  <c:v>33.355277684995919</c:v>
                </c:pt>
                <c:pt idx="16">
                  <c:v>30.322979713632652</c:v>
                </c:pt>
                <c:pt idx="17">
                  <c:v>30.322979713632652</c:v>
                </c:pt>
                <c:pt idx="18">
                  <c:v>27.5663451942115</c:v>
                </c:pt>
                <c:pt idx="19">
                  <c:v>27.5663451942115</c:v>
                </c:pt>
                <c:pt idx="20">
                  <c:v>25.060313812919542</c:v>
                </c:pt>
                <c:pt idx="21">
                  <c:v>25.060313812919542</c:v>
                </c:pt>
                <c:pt idx="22">
                  <c:v>22.78210346629049</c:v>
                </c:pt>
                <c:pt idx="23">
                  <c:v>22.78210346629049</c:v>
                </c:pt>
                <c:pt idx="24">
                  <c:v>20.71100315117317</c:v>
                </c:pt>
                <c:pt idx="25">
                  <c:v>20.71100315117317</c:v>
                </c:pt>
                <c:pt idx="26">
                  <c:v>18.828184682884697</c:v>
                </c:pt>
                <c:pt idx="27">
                  <c:v>18.828184682884697</c:v>
                </c:pt>
                <c:pt idx="28">
                  <c:v>17.116531529895177</c:v>
                </c:pt>
                <c:pt idx="29">
                  <c:v>17.116531529895177</c:v>
                </c:pt>
                <c:pt idx="30">
                  <c:v>15.560483208995613</c:v>
                </c:pt>
                <c:pt idx="31">
                  <c:v>15.560483208995613</c:v>
                </c:pt>
                <c:pt idx="32">
                  <c:v>14.145893826359647</c:v>
                </c:pt>
                <c:pt idx="33">
                  <c:v>14.145893826359647</c:v>
                </c:pt>
                <c:pt idx="34">
                  <c:v>12.859903478508768</c:v>
                </c:pt>
                <c:pt idx="35">
                  <c:v>12.859903478508768</c:v>
                </c:pt>
                <c:pt idx="36">
                  <c:v>11.690821344098879</c:v>
                </c:pt>
                <c:pt idx="37">
                  <c:v>11.690821344098879</c:v>
                </c:pt>
                <c:pt idx="38">
                  <c:v>10.628019403726253</c:v>
                </c:pt>
                <c:pt idx="39">
                  <c:v>10.628019403726253</c:v>
                </c:pt>
                <c:pt idx="40">
                  <c:v>9.6618358215693192</c:v>
                </c:pt>
                <c:pt idx="41">
                  <c:v>9.6618358215693192</c:v>
                </c:pt>
                <c:pt idx="42">
                  <c:v>8.7834871105175623</c:v>
                </c:pt>
                <c:pt idx="43">
                  <c:v>8.7834871105175623</c:v>
                </c:pt>
                <c:pt idx="44">
                  <c:v>7.9849882822886924</c:v>
                </c:pt>
                <c:pt idx="45">
                  <c:v>7.9849882822886924</c:v>
                </c:pt>
                <c:pt idx="46">
                  <c:v>7.259080256626083</c:v>
                </c:pt>
                <c:pt idx="47">
                  <c:v>7.259080256626083</c:v>
                </c:pt>
                <c:pt idx="48">
                  <c:v>6.5991638696600745</c:v>
                </c:pt>
                <c:pt idx="49">
                  <c:v>6.5991638696600745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4DF-4B37-87BC-5F13AA894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919536"/>
        <c:axId val="290921888"/>
        <c:extLst/>
      </c:scatterChart>
      <c:valAx>
        <c:axId val="29091953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Field Strength (A/m)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921888"/>
        <c:crosses val="autoZero"/>
        <c:crossBetween val="midCat"/>
      </c:valAx>
      <c:valAx>
        <c:axId val="29092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LMA (mVpp)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919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511221492905663"/>
          <c:y val="9.0841872285315636E-2"/>
          <c:w val="0.37655702699298416"/>
          <c:h val="9.563205089880624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LMA (Type F)</a:t>
            </a:r>
          </a:p>
        </c:rich>
      </c:tx>
      <c:layout>
        <c:manualLayout>
          <c:xMode val="edge"/>
          <c:yMode val="edge"/>
          <c:x val="0.39439689986649096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305944510595955"/>
          <c:y val="7.8509678430620136E-2"/>
          <c:w val="0.85872955907556059"/>
          <c:h val="0.84111682040063629"/>
        </c:manualLayout>
      </c:layout>
      <c:scatterChart>
        <c:scatterStyle val="lineMarker"/>
        <c:varyColors val="0"/>
        <c:ser>
          <c:idx val="2"/>
          <c:order val="0"/>
          <c:tx>
            <c:strRef>
              <c:f>'DLMA RSSI Settings'!$D$37</c:f>
              <c:strCache>
                <c:ptCount val="1"/>
                <c:pt idx="0">
                  <c:v>Target (Type F)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'DLMA RSSI Settings'!$Z$5:$Z$54</c:f>
              <c:numCache>
                <c:formatCode>0.00</c:formatCode>
                <c:ptCount val="50"/>
                <c:pt idx="0">
                  <c:v>0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50</c:v>
                </c:pt>
              </c:numCache>
            </c:numRef>
          </c:xVal>
          <c:yVal>
            <c:numRef>
              <c:f>'DLMA RSSI Settings'!$AA$5:$AA$54</c:f>
              <c:numCache>
                <c:formatCode>0.00</c:formatCode>
                <c:ptCount val="50"/>
                <c:pt idx="0">
                  <c:v>31</c:v>
                </c:pt>
                <c:pt idx="1">
                  <c:v>31</c:v>
                </c:pt>
                <c:pt idx="2">
                  <c:v>28.18181818181818</c:v>
                </c:pt>
                <c:pt idx="3">
                  <c:v>28.18181818181818</c:v>
                </c:pt>
                <c:pt idx="4">
                  <c:v>25.619834710743799</c:v>
                </c:pt>
                <c:pt idx="5">
                  <c:v>25.619834710743799</c:v>
                </c:pt>
                <c:pt idx="6">
                  <c:v>23.290758827948906</c:v>
                </c:pt>
                <c:pt idx="7">
                  <c:v>23.290758827948906</c:v>
                </c:pt>
                <c:pt idx="8">
                  <c:v>21.173417116317186</c:v>
                </c:pt>
                <c:pt idx="9">
                  <c:v>21.173417116317186</c:v>
                </c:pt>
                <c:pt idx="10">
                  <c:v>19.248561014833804</c:v>
                </c:pt>
                <c:pt idx="11">
                  <c:v>19.248561014833804</c:v>
                </c:pt>
                <c:pt idx="12">
                  <c:v>17.498691831667092</c:v>
                </c:pt>
                <c:pt idx="13">
                  <c:v>17.498691831667092</c:v>
                </c:pt>
                <c:pt idx="14">
                  <c:v>15.907901665151901</c:v>
                </c:pt>
                <c:pt idx="15">
                  <c:v>15.907901665151901</c:v>
                </c:pt>
                <c:pt idx="16">
                  <c:v>14.461728786501727</c:v>
                </c:pt>
                <c:pt idx="17">
                  <c:v>14.461728786501727</c:v>
                </c:pt>
                <c:pt idx="18">
                  <c:v>13.147026169547024</c:v>
                </c:pt>
                <c:pt idx="19">
                  <c:v>13.147026169547024</c:v>
                </c:pt>
                <c:pt idx="20">
                  <c:v>11.951841972315476</c:v>
                </c:pt>
                <c:pt idx="21">
                  <c:v>11.951841972315476</c:v>
                </c:pt>
                <c:pt idx="22">
                  <c:v>10.86531088392316</c:v>
                </c:pt>
                <c:pt idx="23">
                  <c:v>10.86531088392316</c:v>
                </c:pt>
                <c:pt idx="24">
                  <c:v>9.877555349021053</c:v>
                </c:pt>
                <c:pt idx="25">
                  <c:v>9.877555349021053</c:v>
                </c:pt>
                <c:pt idx="26">
                  <c:v>8.9795957718373209</c:v>
                </c:pt>
                <c:pt idx="27">
                  <c:v>8.9795957718373209</c:v>
                </c:pt>
                <c:pt idx="28">
                  <c:v>8.1632688834884721</c:v>
                </c:pt>
                <c:pt idx="29">
                  <c:v>8.1632688834884721</c:v>
                </c:pt>
                <c:pt idx="30">
                  <c:v>7.421153530444065</c:v>
                </c:pt>
                <c:pt idx="31">
                  <c:v>7.421153530444065</c:v>
                </c:pt>
                <c:pt idx="32">
                  <c:v>6.7465032094946036</c:v>
                </c:pt>
                <c:pt idx="33">
                  <c:v>6.7465032094946036</c:v>
                </c:pt>
                <c:pt idx="34">
                  <c:v>6.1331847359041847</c:v>
                </c:pt>
                <c:pt idx="35">
                  <c:v>6.1331847359041847</c:v>
                </c:pt>
                <c:pt idx="36">
                  <c:v>5.5756224871856217</c:v>
                </c:pt>
                <c:pt idx="37">
                  <c:v>5.5756224871856217</c:v>
                </c:pt>
                <c:pt idx="38">
                  <c:v>5.0687477156232923</c:v>
                </c:pt>
                <c:pt idx="39">
                  <c:v>5.0687477156232923</c:v>
                </c:pt>
                <c:pt idx="40">
                  <c:v>4.6079524687484472</c:v>
                </c:pt>
                <c:pt idx="41">
                  <c:v>4.6079524687484472</c:v>
                </c:pt>
                <c:pt idx="42">
                  <c:v>4.1890476988622245</c:v>
                </c:pt>
                <c:pt idx="43">
                  <c:v>4.1890476988622245</c:v>
                </c:pt>
                <c:pt idx="44">
                  <c:v>3.8082251807838401</c:v>
                </c:pt>
                <c:pt idx="45">
                  <c:v>3.8082251807838401</c:v>
                </c:pt>
                <c:pt idx="46">
                  <c:v>3.4620228916216726</c:v>
                </c:pt>
                <c:pt idx="47">
                  <c:v>3.4620228916216726</c:v>
                </c:pt>
                <c:pt idx="48">
                  <c:v>3.1472935378378839</c:v>
                </c:pt>
                <c:pt idx="49">
                  <c:v>3.1472935378378839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4DF-4B37-87BC-5F13AA894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919536"/>
        <c:axId val="290921888"/>
        <c:extLst/>
      </c:scatterChart>
      <c:valAx>
        <c:axId val="29091953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Field Strength (A/m)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921888"/>
        <c:crosses val="autoZero"/>
        <c:crossBetween val="midCat"/>
      </c:valAx>
      <c:valAx>
        <c:axId val="29092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LMA (mVpp)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919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72948205356194"/>
          <c:y val="9.0841872285315636E-2"/>
          <c:w val="0.19957757227517736"/>
          <c:h val="4.8554801717681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630756184285753E-2"/>
          <c:y val="5.420289855072466E-2"/>
          <c:w val="0.85796618500836053"/>
          <c:h val="0.84145644837873523"/>
        </c:manualLayout>
      </c:layout>
      <c:scatterChart>
        <c:scatterStyle val="lineMarker"/>
        <c:varyColors val="0"/>
        <c:ser>
          <c:idx val="1"/>
          <c:order val="0"/>
          <c:tx>
            <c:strRef>
              <c:f>'DLMA TX Settings'!$D$2</c:f>
              <c:strCache>
                <c:ptCount val="1"/>
                <c:pt idx="0">
                  <c:v>Equiv TX (Vpp)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'DLMA TX Settings'!$C$3:$C$42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28</c:v>
                </c:pt>
              </c:numCache>
            </c:numRef>
          </c:xVal>
          <c:yVal>
            <c:numRef>
              <c:f>'DLMA TX Settings'!$D$3:$D$42</c:f>
              <c:numCache>
                <c:formatCode>0.00</c:formatCode>
                <c:ptCount val="40"/>
                <c:pt idx="0">
                  <c:v>20.399999999999999</c:v>
                </c:pt>
                <c:pt idx="1">
                  <c:v>19.600000000000001</c:v>
                </c:pt>
                <c:pt idx="2">
                  <c:v>17.86</c:v>
                </c:pt>
                <c:pt idx="3">
                  <c:v>16.32</c:v>
                </c:pt>
                <c:pt idx="4">
                  <c:v>14.79</c:v>
                </c:pt>
                <c:pt idx="5">
                  <c:v>13.524000000000001</c:v>
                </c:pt>
                <c:pt idx="6">
                  <c:v>12.282</c:v>
                </c:pt>
                <c:pt idx="7">
                  <c:v>11.122</c:v>
                </c:pt>
                <c:pt idx="8">
                  <c:v>11.172000000000001</c:v>
                </c:pt>
                <c:pt idx="9">
                  <c:v>10.167999999999999</c:v>
                </c:pt>
                <c:pt idx="10">
                  <c:v>10.146000000000001</c:v>
                </c:pt>
                <c:pt idx="11">
                  <c:v>9.3000000000000007</c:v>
                </c:pt>
                <c:pt idx="12">
                  <c:v>9.1</c:v>
                </c:pt>
                <c:pt idx="13">
                  <c:v>8.4240000000000013</c:v>
                </c:pt>
                <c:pt idx="14">
                  <c:v>8.4</c:v>
                </c:pt>
                <c:pt idx="15">
                  <c:v>7.4879999999999995</c:v>
                </c:pt>
                <c:pt idx="16">
                  <c:v>7.5</c:v>
                </c:pt>
                <c:pt idx="17">
                  <c:v>6.9</c:v>
                </c:pt>
                <c:pt idx="18">
                  <c:v>6.96</c:v>
                </c:pt>
                <c:pt idx="19">
                  <c:v>6.2790000000000008</c:v>
                </c:pt>
                <c:pt idx="20">
                  <c:v>6.32</c:v>
                </c:pt>
                <c:pt idx="21">
                  <c:v>5.6950000000000003</c:v>
                </c:pt>
                <c:pt idx="22">
                  <c:v>5.7</c:v>
                </c:pt>
                <c:pt idx="23">
                  <c:v>5.1590000000000007</c:v>
                </c:pt>
                <c:pt idx="24">
                  <c:v>5.1870000000000003</c:v>
                </c:pt>
                <c:pt idx="25">
                  <c:v>4.7120000000000006</c:v>
                </c:pt>
                <c:pt idx="26">
                  <c:v>4.7309999999999999</c:v>
                </c:pt>
                <c:pt idx="27">
                  <c:v>4.34</c:v>
                </c:pt>
                <c:pt idx="28">
                  <c:v>4.3319999999999999</c:v>
                </c:pt>
                <c:pt idx="29">
                  <c:v>3.95</c:v>
                </c:pt>
                <c:pt idx="30">
                  <c:v>3.56</c:v>
                </c:pt>
                <c:pt idx="31">
                  <c:v>3.24</c:v>
                </c:pt>
                <c:pt idx="32">
                  <c:v>2.88</c:v>
                </c:pt>
                <c:pt idx="33">
                  <c:v>2.6</c:v>
                </c:pt>
                <c:pt idx="34">
                  <c:v>2.4</c:v>
                </c:pt>
                <c:pt idx="35">
                  <c:v>2.1749999999999998</c:v>
                </c:pt>
                <c:pt idx="36">
                  <c:v>1.9750000000000001</c:v>
                </c:pt>
                <c:pt idx="37">
                  <c:v>1.7999999999999998</c:v>
                </c:pt>
                <c:pt idx="38">
                  <c:v>1.66</c:v>
                </c:pt>
                <c:pt idx="39">
                  <c:v>1.54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2A-4944-AB8B-01A67AED3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306480"/>
        <c:axId val="611313040"/>
      </c:scatterChart>
      <c:valAx>
        <c:axId val="61130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313040"/>
        <c:crosses val="autoZero"/>
        <c:crossBetween val="midCat"/>
      </c:valAx>
      <c:valAx>
        <c:axId val="61131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Voltage (Vpp)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30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327136839381758"/>
          <c:y val="8.5403237638773416E-2"/>
          <c:w val="0.31133719646883967"/>
          <c:h val="6.9876265466816662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630756184285753E-2"/>
          <c:y val="5.420289855072466E-2"/>
          <c:w val="0.85796618500836053"/>
          <c:h val="0.81661172788184089"/>
        </c:manualLayout>
      </c:layout>
      <c:scatterChart>
        <c:scatterStyle val="lineMarker"/>
        <c:varyColors val="0"/>
        <c:ser>
          <c:idx val="1"/>
          <c:order val="0"/>
          <c:tx>
            <c:strRef>
              <c:f>'DLMA TX Settings'!$D$2</c:f>
              <c:strCache>
                <c:ptCount val="1"/>
                <c:pt idx="0">
                  <c:v>Equiv TX (Vpp)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'DLMA TX Settings'!$B$3:$B$42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'DLMA TX Settings'!$D$3:$D$42</c:f>
              <c:numCache>
                <c:formatCode>0.00</c:formatCode>
                <c:ptCount val="40"/>
                <c:pt idx="0">
                  <c:v>20.399999999999999</c:v>
                </c:pt>
                <c:pt idx="1">
                  <c:v>19.600000000000001</c:v>
                </c:pt>
                <c:pt idx="2">
                  <c:v>17.86</c:v>
                </c:pt>
                <c:pt idx="3">
                  <c:v>16.32</c:v>
                </c:pt>
                <c:pt idx="4">
                  <c:v>14.79</c:v>
                </c:pt>
                <c:pt idx="5">
                  <c:v>13.524000000000001</c:v>
                </c:pt>
                <c:pt idx="6">
                  <c:v>12.282</c:v>
                </c:pt>
                <c:pt idx="7">
                  <c:v>11.122</c:v>
                </c:pt>
                <c:pt idx="8">
                  <c:v>11.172000000000001</c:v>
                </c:pt>
                <c:pt idx="9">
                  <c:v>10.167999999999999</c:v>
                </c:pt>
                <c:pt idx="10">
                  <c:v>10.146000000000001</c:v>
                </c:pt>
                <c:pt idx="11">
                  <c:v>9.3000000000000007</c:v>
                </c:pt>
                <c:pt idx="12">
                  <c:v>9.1</c:v>
                </c:pt>
                <c:pt idx="13">
                  <c:v>8.4240000000000013</c:v>
                </c:pt>
                <c:pt idx="14">
                  <c:v>8.4</c:v>
                </c:pt>
                <c:pt idx="15">
                  <c:v>7.4879999999999995</c:v>
                </c:pt>
                <c:pt idx="16">
                  <c:v>7.5</c:v>
                </c:pt>
                <c:pt idx="17">
                  <c:v>6.9</c:v>
                </c:pt>
                <c:pt idx="18">
                  <c:v>6.96</c:v>
                </c:pt>
                <c:pt idx="19">
                  <c:v>6.2790000000000008</c:v>
                </c:pt>
                <c:pt idx="20">
                  <c:v>6.32</c:v>
                </c:pt>
                <c:pt idx="21">
                  <c:v>5.6950000000000003</c:v>
                </c:pt>
                <c:pt idx="22">
                  <c:v>5.7</c:v>
                </c:pt>
                <c:pt idx="23">
                  <c:v>5.1590000000000007</c:v>
                </c:pt>
                <c:pt idx="24">
                  <c:v>5.1870000000000003</c:v>
                </c:pt>
                <c:pt idx="25">
                  <c:v>4.7120000000000006</c:v>
                </c:pt>
                <c:pt idx="26">
                  <c:v>4.7309999999999999</c:v>
                </c:pt>
                <c:pt idx="27">
                  <c:v>4.34</c:v>
                </c:pt>
                <c:pt idx="28">
                  <c:v>4.3319999999999999</c:v>
                </c:pt>
                <c:pt idx="29">
                  <c:v>3.95</c:v>
                </c:pt>
                <c:pt idx="30">
                  <c:v>3.56</c:v>
                </c:pt>
                <c:pt idx="31">
                  <c:v>3.24</c:v>
                </c:pt>
                <c:pt idx="32">
                  <c:v>2.88</c:v>
                </c:pt>
                <c:pt idx="33">
                  <c:v>2.6</c:v>
                </c:pt>
                <c:pt idx="34">
                  <c:v>2.4</c:v>
                </c:pt>
                <c:pt idx="35">
                  <c:v>2.1749999999999998</c:v>
                </c:pt>
                <c:pt idx="36">
                  <c:v>1.9750000000000001</c:v>
                </c:pt>
                <c:pt idx="37">
                  <c:v>1.7999999999999998</c:v>
                </c:pt>
                <c:pt idx="38">
                  <c:v>1.66</c:v>
                </c:pt>
                <c:pt idx="39">
                  <c:v>1.54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2A-4944-AB8B-01A67AED3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306480"/>
        <c:axId val="611313040"/>
      </c:scatterChart>
      <c:valAx>
        <c:axId val="611306480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Sequence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313040"/>
        <c:crosses val="autoZero"/>
        <c:crossBetween val="midCat"/>
      </c:valAx>
      <c:valAx>
        <c:axId val="61131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(Vpp)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30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163956739266458"/>
          <c:y val="0.101966384636703"/>
          <c:w val="0.31133719646883967"/>
          <c:h val="6.9876265466816662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9411950596477"/>
          <c:y val="4.4377213301601139E-2"/>
          <c:w val="0.83693255734337557"/>
          <c:h val="0.849904002907231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'DLMA TX Settings'!$M$2</c:f>
              <c:strCache>
                <c:ptCount val="1"/>
                <c:pt idx="0">
                  <c:v>Phase (°)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'DLMA TX Settings'!$D$3:$D$42</c:f>
              <c:numCache>
                <c:formatCode>0.00</c:formatCode>
                <c:ptCount val="40"/>
                <c:pt idx="0">
                  <c:v>20.399999999999999</c:v>
                </c:pt>
                <c:pt idx="1">
                  <c:v>19.600000000000001</c:v>
                </c:pt>
                <c:pt idx="2">
                  <c:v>17.86</c:v>
                </c:pt>
                <c:pt idx="3">
                  <c:v>16.32</c:v>
                </c:pt>
                <c:pt idx="4">
                  <c:v>14.79</c:v>
                </c:pt>
                <c:pt idx="5">
                  <c:v>13.524000000000001</c:v>
                </c:pt>
                <c:pt idx="6">
                  <c:v>12.282</c:v>
                </c:pt>
                <c:pt idx="7">
                  <c:v>11.122</c:v>
                </c:pt>
                <c:pt idx="8">
                  <c:v>11.172000000000001</c:v>
                </c:pt>
                <c:pt idx="9">
                  <c:v>10.167999999999999</c:v>
                </c:pt>
                <c:pt idx="10">
                  <c:v>10.146000000000001</c:v>
                </c:pt>
                <c:pt idx="11">
                  <c:v>9.3000000000000007</c:v>
                </c:pt>
                <c:pt idx="12">
                  <c:v>9.1</c:v>
                </c:pt>
                <c:pt idx="13">
                  <c:v>8.4240000000000013</c:v>
                </c:pt>
                <c:pt idx="14">
                  <c:v>8.4</c:v>
                </c:pt>
                <c:pt idx="15">
                  <c:v>7.4879999999999995</c:v>
                </c:pt>
                <c:pt idx="16">
                  <c:v>7.5</c:v>
                </c:pt>
                <c:pt idx="17">
                  <c:v>6.9</c:v>
                </c:pt>
                <c:pt idx="18">
                  <c:v>6.96</c:v>
                </c:pt>
                <c:pt idx="19">
                  <c:v>6.2790000000000008</c:v>
                </c:pt>
                <c:pt idx="20">
                  <c:v>6.32</c:v>
                </c:pt>
                <c:pt idx="21">
                  <c:v>5.6950000000000003</c:v>
                </c:pt>
                <c:pt idx="22">
                  <c:v>5.7</c:v>
                </c:pt>
                <c:pt idx="23">
                  <c:v>5.1590000000000007</c:v>
                </c:pt>
                <c:pt idx="24">
                  <c:v>5.1870000000000003</c:v>
                </c:pt>
                <c:pt idx="25">
                  <c:v>4.7120000000000006</c:v>
                </c:pt>
                <c:pt idx="26">
                  <c:v>4.7309999999999999</c:v>
                </c:pt>
                <c:pt idx="27">
                  <c:v>4.34</c:v>
                </c:pt>
                <c:pt idx="28">
                  <c:v>4.3319999999999999</c:v>
                </c:pt>
                <c:pt idx="29">
                  <c:v>3.95</c:v>
                </c:pt>
                <c:pt idx="30">
                  <c:v>3.56</c:v>
                </c:pt>
                <c:pt idx="31">
                  <c:v>3.24</c:v>
                </c:pt>
                <c:pt idx="32">
                  <c:v>2.88</c:v>
                </c:pt>
                <c:pt idx="33">
                  <c:v>2.6</c:v>
                </c:pt>
                <c:pt idx="34">
                  <c:v>2.4</c:v>
                </c:pt>
                <c:pt idx="35">
                  <c:v>2.1749999999999998</c:v>
                </c:pt>
                <c:pt idx="36">
                  <c:v>1.9750000000000001</c:v>
                </c:pt>
                <c:pt idx="37">
                  <c:v>1.7999999999999998</c:v>
                </c:pt>
                <c:pt idx="38">
                  <c:v>1.66</c:v>
                </c:pt>
                <c:pt idx="39">
                  <c:v>1.54</c:v>
                </c:pt>
              </c:numCache>
            </c:numRef>
          </c:xVal>
          <c:yVal>
            <c:numRef>
              <c:f>'DLMA TX Settings'!$M$3:$M$42</c:f>
              <c:numCache>
                <c:formatCode>0.0</c:formatCode>
                <c:ptCount val="40"/>
                <c:pt idx="0">
                  <c:v>-1.1736036390001345</c:v>
                </c:pt>
                <c:pt idx="1">
                  <c:v>0.30099401900031353</c:v>
                </c:pt>
                <c:pt idx="2">
                  <c:v>1.4367651616389594</c:v>
                </c:pt>
                <c:pt idx="3">
                  <c:v>-0.15303421951995233</c:v>
                </c:pt>
                <c:pt idx="4">
                  <c:v>0.42546916689400405</c:v>
                </c:pt>
                <c:pt idx="5">
                  <c:v>-3.5973781626449295</c:v>
                </c:pt>
                <c:pt idx="6">
                  <c:v>-2.7122203675122591</c:v>
                </c:pt>
                <c:pt idx="7">
                  <c:v>-2.8236348921590206</c:v>
                </c:pt>
                <c:pt idx="8">
                  <c:v>1.5267540815450502</c:v>
                </c:pt>
                <c:pt idx="9">
                  <c:v>-3.2239062502391675</c:v>
                </c:pt>
                <c:pt idx="10">
                  <c:v>-3.9744119384818646</c:v>
                </c:pt>
                <c:pt idx="11">
                  <c:v>-3.727908798046883</c:v>
                </c:pt>
                <c:pt idx="12">
                  <c:v>-6.1756182031249409</c:v>
                </c:pt>
                <c:pt idx="13">
                  <c:v>-4.4067022422231048</c:v>
                </c:pt>
                <c:pt idx="14">
                  <c:v>-6.6370150000000194</c:v>
                </c:pt>
                <c:pt idx="15">
                  <c:v>-5.4888039018824202</c:v>
                </c:pt>
                <c:pt idx="16">
                  <c:v>-7.0613769531249773</c:v>
                </c:pt>
                <c:pt idx="17">
                  <c:v>-4.0284273937502348</c:v>
                </c:pt>
                <c:pt idx="18">
                  <c:v>-7.671635560000027</c:v>
                </c:pt>
                <c:pt idx="19">
                  <c:v>-2.791043570794784</c:v>
                </c:pt>
                <c:pt idx="20">
                  <c:v>-9.1620902799999726</c:v>
                </c:pt>
                <c:pt idx="21">
                  <c:v>-2.7502007186532751</c:v>
                </c:pt>
                <c:pt idx="22">
                  <c:v>3.3752881249999405</c:v>
                </c:pt>
                <c:pt idx="23">
                  <c:v>-3.1495343127531896</c:v>
                </c:pt>
                <c:pt idx="24">
                  <c:v>-3.1002027451805247</c:v>
                </c:pt>
                <c:pt idx="25">
                  <c:v>-3.6476447425211518</c:v>
                </c:pt>
                <c:pt idx="26">
                  <c:v>-5.6893923478955912</c:v>
                </c:pt>
                <c:pt idx="27">
                  <c:v>-4.1841338846300573</c:v>
                </c:pt>
                <c:pt idx="28">
                  <c:v>-6.5124762432399734</c:v>
                </c:pt>
                <c:pt idx="29">
                  <c:v>-6.8317810156249834</c:v>
                </c:pt>
                <c:pt idx="30">
                  <c:v>-7.4421138799999653</c:v>
                </c:pt>
                <c:pt idx="31">
                  <c:v>-8.6904233199999794</c:v>
                </c:pt>
                <c:pt idx="32">
                  <c:v>-11.46287295999997</c:v>
                </c:pt>
                <c:pt idx="33">
                  <c:v>-14.990254999999991</c:v>
                </c:pt>
                <c:pt idx="34">
                  <c:v>-5.4373600000000124</c:v>
                </c:pt>
                <c:pt idx="35">
                  <c:v>-6.4920116406249804</c:v>
                </c:pt>
                <c:pt idx="36">
                  <c:v>-6.8317810156249834</c:v>
                </c:pt>
                <c:pt idx="37">
                  <c:v>-7.3442800000000261</c:v>
                </c:pt>
                <c:pt idx="38">
                  <c:v>-8.2891912399999796</c:v>
                </c:pt>
                <c:pt idx="39">
                  <c:v>-9.7107911599999852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5F-41E9-846A-5066496A0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903920"/>
        <c:axId val="401905560"/>
      </c:scatterChart>
      <c:valAx>
        <c:axId val="401903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'DLMA TX Settings'!$D$2</c:f>
              <c:strCache>
                <c:ptCount val="1"/>
                <c:pt idx="0">
                  <c:v>Equiv TX (Vpp)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905560"/>
        <c:crossesAt val="-40"/>
        <c:crossBetween val="midCat"/>
      </c:valAx>
      <c:valAx>
        <c:axId val="401905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'DLMA TX Settings'!$M$2</c:f>
              <c:strCache>
                <c:ptCount val="1"/>
                <c:pt idx="0">
                  <c:v>Phase (°)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90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142346755150588"/>
          <c:y val="6.2531210173277618E-2"/>
          <c:w val="0.10729448116644283"/>
          <c:h val="8.7925604125956389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43542</xdr:colOff>
      <xdr:row>5</xdr:row>
      <xdr:rowOff>10887</xdr:rowOff>
    </xdr:from>
    <xdr:ext cx="3867021" cy="358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BCAFD80-6E97-462C-8E8E-23E2FDB0203F}"/>
                </a:ext>
              </a:extLst>
            </xdr:cNvPr>
            <xdr:cNvSpPr txBox="1"/>
          </xdr:nvSpPr>
          <xdr:spPr>
            <a:xfrm>
              <a:off x="7338571" y="1221122"/>
              <a:ext cx="3867021" cy="35856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𝐿𝑀𝐴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𝑇𝑋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𝑚𝑒𝑎𝑠𝑢𝑟𝑒𝑑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@1.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5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/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</m:d>
                    <m:r>
                      <a:rPr lang="en-US" sz="1100" i="1">
                        <a:latin typeface="Cambria Math" panose="02040503050406030204" pitchFamily="18" charset="0"/>
                      </a:rPr>
                      <m:t>)=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𝐿𝑀𝐴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𝑚𝑒𝑎𝑠𝑢𝑟𝑒𝑑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d>
                          <m:d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𝑚𝑉𝑝𝑝</m:t>
                            </m:r>
                          </m:e>
                        </m:d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𝐸𝑞𝑢𝑖𝑣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𝑇𝑋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𝑉𝑜𝑙𝑡𝑎𝑔𝑒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𝑉𝑝𝑝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BCAFD80-6E97-462C-8E8E-23E2FDB0203F}"/>
                </a:ext>
              </a:extLst>
            </xdr:cNvPr>
            <xdr:cNvSpPr txBox="1"/>
          </xdr:nvSpPr>
          <xdr:spPr>
            <a:xfrm>
              <a:off x="7338571" y="1221122"/>
              <a:ext cx="3867021" cy="35856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𝐿𝑀𝐴/𝑇𝑋(𝑚𝑒𝑎𝑠𝑢𝑟𝑒𝑑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(@1.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𝐴/𝑚)</a:t>
              </a:r>
              <a:r>
                <a:rPr lang="en-US" sz="1100" i="0">
                  <a:latin typeface="Cambria Math" panose="02040503050406030204" pitchFamily="18" charset="0"/>
                </a:rPr>
                <a:t>)=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(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𝐿𝑀𝐴 𝑚𝑒𝑎𝑠𝑢𝑟𝑒𝑑 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𝑚𝑉𝑝𝑝)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𝐸𝑞𝑢𝑖𝑣 𝑇𝑋 𝑉𝑜𝑙𝑡𝑎𝑔𝑒 (𝑉𝑝𝑝)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43542</xdr:colOff>
      <xdr:row>3</xdr:row>
      <xdr:rowOff>19596</xdr:rowOff>
    </xdr:from>
    <xdr:ext cx="3453381" cy="358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5AE61534-DBE5-4BC7-AC58-3FE361DFEAEA}"/>
                </a:ext>
              </a:extLst>
            </xdr:cNvPr>
            <xdr:cNvSpPr txBox="1"/>
          </xdr:nvSpPr>
          <xdr:spPr>
            <a:xfrm>
              <a:off x="7249885" y="857796"/>
              <a:ext cx="3453381" cy="35856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𝐿𝑀𝐴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𝑇𝑋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𝑡𝑎𝑟𝑔𝑒𝑡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@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/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e>
                    </m:d>
                    <m:r>
                      <a:rPr lang="en-US" sz="1100" i="1">
                        <a:latin typeface="Cambria Math" panose="02040503050406030204" pitchFamily="18" charset="0"/>
                      </a:rPr>
                      <m:t>)=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𝐿𝑀𝐴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𝑡𝑎𝑟𝑔𝑒𝑡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d>
                          <m:d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𝑚𝑉𝑝𝑝</m:t>
                            </m:r>
                          </m:e>
                        </m:d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𝐸𝑞𝑢𝑖𝑣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𝑇𝑋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𝑉𝑜𝑙𝑡𝑎𝑔𝑒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𝑉𝑝𝑝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5AE61534-DBE5-4BC7-AC58-3FE361DFEAEA}"/>
                </a:ext>
              </a:extLst>
            </xdr:cNvPr>
            <xdr:cNvSpPr txBox="1"/>
          </xdr:nvSpPr>
          <xdr:spPr>
            <a:xfrm>
              <a:off x="7249885" y="857796"/>
              <a:ext cx="3453381" cy="35856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𝐿𝑀𝐴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i="0">
                  <a:latin typeface="Cambria Math" panose="02040503050406030204" pitchFamily="18" charset="0"/>
                </a:rPr>
                <a:t>𝑇𝑋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𝑡𝑎𝑟𝑔𝑒𝑡 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(@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𝐴/𝑚)</a:t>
              </a:r>
              <a:r>
                <a:rPr lang="en-US" sz="1100" i="0">
                  <a:latin typeface="Cambria Math" panose="02040503050406030204" pitchFamily="18" charset="0"/>
                </a:rPr>
                <a:t>)=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(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𝐿𝑀𝐴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𝑡𝑎𝑟𝑔𝑒𝑡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𝑚𝑉𝑝𝑝)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𝐸𝑞𝑢𝑖𝑣 𝑇𝑋 𝑉𝑜𝑙𝑡𝑎𝑔𝑒 (𝑉𝑝𝑝)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9</xdr:col>
      <xdr:colOff>21772</xdr:colOff>
      <xdr:row>6</xdr:row>
      <xdr:rowOff>163286</xdr:rowOff>
    </xdr:from>
    <xdr:to>
      <xdr:col>17</xdr:col>
      <xdr:colOff>195943</xdr:colOff>
      <xdr:row>11</xdr:row>
      <xdr:rowOff>21771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A28AF06A-360B-4DE0-9549-07BB5EFBD015}"/>
            </a:ext>
          </a:extLst>
        </xdr:cNvPr>
        <xdr:cNvCxnSpPr/>
      </xdr:nvCxnSpPr>
      <xdr:spPr>
        <a:xfrm flipH="1" flipV="1">
          <a:off x="6531429" y="1556657"/>
          <a:ext cx="8382000" cy="805543"/>
        </a:xfrm>
        <a:prstGeom prst="straightConnector1">
          <a:avLst/>
        </a:prstGeom>
        <a:ln w="38100">
          <a:solidFill>
            <a:srgbClr val="0070C0"/>
          </a:solidFill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7</xdr:col>
      <xdr:colOff>0</xdr:colOff>
      <xdr:row>7</xdr:row>
      <xdr:rowOff>20680</xdr:rowOff>
    </xdr:from>
    <xdr:ext cx="5989140" cy="3581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E0648E65-3521-4114-AF76-4C8536B10C5E}"/>
                </a:ext>
              </a:extLst>
            </xdr:cNvPr>
            <xdr:cNvSpPr txBox="1"/>
          </xdr:nvSpPr>
          <xdr:spPr>
            <a:xfrm>
              <a:off x="4419600" y="1599109"/>
              <a:ext cx="5989140" cy="3581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𝐷𝐿𝑀𝐴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𝐿𝑀𝐴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𝑇𝑋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𝑆𝐻𝐼𝐹𝑇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𝐴𝐵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)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unc>
                          <m:func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sz="1100" i="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log</m:t>
                            </m:r>
                          </m:fName>
                          <m:e>
                            <m:d>
                              <m:d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type m:val="lin"/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𝐿𝑀𝐴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/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𝑇𝑋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𝑚𝑒𝑎𝑠𝑢𝑟𝑒𝑑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  <m:d>
                                      <m:dPr>
                                        <m:ctrlP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@1.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5</m:t>
                                        </m:r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𝐴</m:t>
                                        </m:r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/</m:t>
                                        </m:r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𝑚</m:t>
                                        </m:r>
                                      </m:e>
                                    </m:d>
                                  </m:num>
                                  <m:den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𝐿𝑀𝐴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/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𝑇𝑋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𝑡𝑎𝑟𝑔𝑒𝑡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  <m:d>
                                      <m:dPr>
                                        <m:ctrlP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@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0</m:t>
                                        </m:r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𝐴</m:t>
                                        </m:r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/</m:t>
                                        </m:r>
                                        <m:r>
                                          <a:rPr lang="fr-FR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𝑚</m:t>
                                        </m:r>
                                      </m:e>
                                    </m:d>
                                  </m:den>
                                </m:f>
                              </m:e>
                            </m:d>
                          </m:e>
                        </m:func>
                      </m:num>
                      <m:den>
                        <m:func>
                          <m:func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sz="1100" i="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log</m:t>
                            </m:r>
                          </m:fName>
                          <m:e>
                            <m:d>
                              <m:d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fr-FR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.1</m:t>
                                </m:r>
                              </m:e>
                            </m:d>
                          </m:e>
                        </m:func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E0648E65-3521-4114-AF76-4C8536B10C5E}"/>
                </a:ext>
              </a:extLst>
            </xdr:cNvPr>
            <xdr:cNvSpPr txBox="1"/>
          </xdr:nvSpPr>
          <xdr:spPr>
            <a:xfrm>
              <a:off x="4419600" y="1599109"/>
              <a:ext cx="5989140" cy="3581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𝐷𝐿𝑀𝐴_𝐿𝑀𝐴_𝑇𝑋_𝑆𝐻𝐼𝐹𝑇_𝐴𝐵</a:t>
              </a:r>
              <a:r>
                <a:rPr lang="en-US" sz="1100" b="0" i="0">
                  <a:latin typeface="Cambria Math" panose="02040503050406030204" pitchFamily="18" charset="0"/>
                </a:rPr>
                <a:t>(</a:t>
              </a:r>
              <a:r>
                <a:rPr lang="en-US" sz="1100" i="0">
                  <a:latin typeface="Cambria Math" panose="02040503050406030204" pitchFamily="18" charset="0"/>
                </a:rPr>
                <a:t>𝐹</a:t>
              </a:r>
              <a:r>
                <a:rPr lang="en-US" sz="1100" b="0" i="0">
                  <a:latin typeface="Cambria Math" panose="02040503050406030204" pitchFamily="18" charset="0"/>
                </a:rPr>
                <a:t>)</a:t>
              </a:r>
              <a:r>
                <a:rPr lang="en-US" sz="1100" i="0">
                  <a:latin typeface="Cambria Math" panose="02040503050406030204" pitchFamily="18" charset="0"/>
                </a:rPr>
                <a:t>=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log⁡(〖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𝐿𝑀𝐴/𝑇𝑋 𝑚𝑒𝑎𝑠𝑢𝑟𝑒𝑑 (@1.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𝐴/𝑚)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〗∕〖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𝐿𝑀𝐴/𝑇𝑋 𝑡𝑎𝑟𝑔𝑒𝑡 (@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𝐴/𝑚)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log⁡(</a:t>
              </a:r>
              <a:r>
                <a:rPr lang="fr-F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.1)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4</xdr:col>
      <xdr:colOff>108859</xdr:colOff>
      <xdr:row>10</xdr:row>
      <xdr:rowOff>152400</xdr:rowOff>
    </xdr:from>
    <xdr:to>
      <xdr:col>16</xdr:col>
      <xdr:colOff>185058</xdr:colOff>
      <xdr:row>13</xdr:row>
      <xdr:rowOff>87087</xdr:rowOff>
    </xdr:to>
    <xdr:cxnSp macro="">
      <xdr:nvCxnSpPr>
        <xdr:cNvPr id="11" name="Connector: Elbow 10">
          <a:extLst>
            <a:ext uri="{FF2B5EF4-FFF2-40B4-BE49-F238E27FC236}">
              <a16:creationId xmlns:a16="http://schemas.microsoft.com/office/drawing/2014/main" id="{32B29ECE-D49C-4F7C-B381-5FCD28365318}"/>
            </a:ext>
          </a:extLst>
        </xdr:cNvPr>
        <xdr:cNvCxnSpPr/>
      </xdr:nvCxnSpPr>
      <xdr:spPr>
        <a:xfrm rot="10800000">
          <a:off x="3429002" y="2296886"/>
          <a:ext cx="10820399" cy="522515"/>
        </a:xfrm>
        <a:prstGeom prst="bentConnector3">
          <a:avLst>
            <a:gd name="adj1" fmla="val 50000"/>
          </a:avLst>
        </a:prstGeom>
        <a:ln w="38100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7</xdr:col>
      <xdr:colOff>10886</xdr:colOff>
      <xdr:row>10</xdr:row>
      <xdr:rowOff>119741</xdr:rowOff>
    </xdr:from>
    <xdr:ext cx="4737515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BF9F4BFE-CA2E-4237-BB15-645BC5B4539B}"/>
                </a:ext>
              </a:extLst>
            </xdr:cNvPr>
            <xdr:cNvSpPr txBox="1"/>
          </xdr:nvSpPr>
          <xdr:spPr>
            <a:xfrm>
              <a:off x="6019800" y="2079170"/>
              <a:ext cx="4737515" cy="38036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𝐷𝐿𝑀𝐴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𝑅𝑆𝑆𝐼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𝑆𝐶𝐴𝐿𝐸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_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𝐴𝐵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)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𝑟𝑜𝑢𝑛𝑑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𝑅𝑆𝑆𝐼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𝑟𝑒𝑓𝑒𝑟𝑒𝑛𝑐𝑒</m:t>
                            </m:r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d>
                              <m:dPr>
                                <m:ctrlP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@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/</m:t>
                                </m:r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</m:d>
                          </m:num>
                          <m:den>
                            <m:f>
                              <m:fPr>
                                <m:type m:val="li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𝑅𝑆𝑆𝐼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</m:t>
                                </m:r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𝑚𝑒𝑎𝑠𝑢𝑟𝑒𝑑</m:t>
                                </m:r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</m:t>
                                </m:r>
                                <m:d>
                                  <m:dPr>
                                    <m:ctrlP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@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5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/</m:t>
                                    </m:r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</m:d>
                              </m:num>
                              <m:den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5</m:t>
                                </m:r>
                              </m:den>
                            </m:f>
                          </m:den>
                        </m:f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128</m:t>
                        </m:r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BF9F4BFE-CA2E-4237-BB15-645BC5B4539B}"/>
                </a:ext>
              </a:extLst>
            </xdr:cNvPr>
            <xdr:cNvSpPr txBox="1"/>
          </xdr:nvSpPr>
          <xdr:spPr>
            <a:xfrm>
              <a:off x="6019800" y="2079170"/>
              <a:ext cx="4737515" cy="38036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𝐷𝐿𝑀𝐴_𝑅𝑆𝑆𝐼_𝐻_𝑆𝐶𝐴𝐿𝐸_𝐴𝐵</a:t>
              </a:r>
              <a:r>
                <a:rPr lang="en-US" sz="1100" b="0" i="0">
                  <a:latin typeface="Cambria Math" panose="02040503050406030204" pitchFamily="18" charset="0"/>
                </a:rPr>
                <a:t>(</a:t>
              </a:r>
              <a:r>
                <a:rPr lang="en-US" sz="1100" i="0">
                  <a:latin typeface="Cambria Math" panose="02040503050406030204" pitchFamily="18" charset="0"/>
                </a:rPr>
                <a:t>𝐹</a:t>
              </a:r>
              <a:r>
                <a:rPr lang="en-US" sz="1100" b="0" i="0">
                  <a:latin typeface="Cambria Math" panose="02040503050406030204" pitchFamily="18" charset="0"/>
                </a:rPr>
                <a:t>)</a:t>
              </a:r>
              <a:r>
                <a:rPr lang="en-US" sz="1100" i="0">
                  <a:latin typeface="Cambria Math" panose="02040503050406030204" pitchFamily="18" charset="0"/>
                </a:rPr>
                <a:t>=</a:t>
              </a:r>
              <a:r>
                <a:rPr lang="en-US" sz="1100" b="0" i="0">
                  <a:latin typeface="Cambria Math" panose="02040503050406030204" pitchFamily="18" charset="0"/>
                </a:rPr>
                <a:t>𝑟𝑜𝑢𝑛𝑑(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(𝑅𝑆𝑆𝐼 𝑟𝑒𝑓𝑒𝑟𝑒𝑛𝑐𝑒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(@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𝐴/𝑚)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)/(〖𝑅𝑆𝑆𝐼 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𝑚𝑒𝑎𝑠𝑢𝑟𝑒𝑑 (@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𝐴/𝑚)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〗∕5)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128)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9</xdr:col>
      <xdr:colOff>43543</xdr:colOff>
      <xdr:row>17</xdr:row>
      <xdr:rowOff>174171</xdr:rowOff>
    </xdr:from>
    <xdr:to>
      <xdr:col>17</xdr:col>
      <xdr:colOff>446314</xdr:colOff>
      <xdr:row>20</xdr:row>
      <xdr:rowOff>97971</xdr:rowOff>
    </xdr:to>
    <xdr:cxnSp macro="">
      <xdr:nvCxnSpPr>
        <xdr:cNvPr id="14" name="Connector: Elbow 13">
          <a:extLst>
            <a:ext uri="{FF2B5EF4-FFF2-40B4-BE49-F238E27FC236}">
              <a16:creationId xmlns:a16="http://schemas.microsoft.com/office/drawing/2014/main" id="{08B6F80B-8262-47B2-90FF-26659BDD1B1E}"/>
            </a:ext>
          </a:extLst>
        </xdr:cNvPr>
        <xdr:cNvCxnSpPr/>
      </xdr:nvCxnSpPr>
      <xdr:spPr>
        <a:xfrm rot="10800000" flipV="1">
          <a:off x="6553200" y="3929742"/>
          <a:ext cx="8610600" cy="511629"/>
        </a:xfrm>
        <a:prstGeom prst="bentConnector3">
          <a:avLst>
            <a:gd name="adj1" fmla="val 58723"/>
          </a:avLst>
        </a:prstGeom>
        <a:ln w="38100">
          <a:solidFill>
            <a:srgbClr val="0070C0"/>
          </a:solidFill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108857</xdr:colOff>
      <xdr:row>13</xdr:row>
      <xdr:rowOff>97971</xdr:rowOff>
    </xdr:from>
    <xdr:to>
      <xdr:col>16</xdr:col>
      <xdr:colOff>185059</xdr:colOff>
      <xdr:row>24</xdr:row>
      <xdr:rowOff>130629</xdr:rowOff>
    </xdr:to>
    <xdr:cxnSp macro="">
      <xdr:nvCxnSpPr>
        <xdr:cNvPr id="17" name="Connector: Elbow 16">
          <a:extLst>
            <a:ext uri="{FF2B5EF4-FFF2-40B4-BE49-F238E27FC236}">
              <a16:creationId xmlns:a16="http://schemas.microsoft.com/office/drawing/2014/main" id="{F770C5A3-C56E-47F6-BF51-BD1A8AF5D336}"/>
            </a:ext>
          </a:extLst>
        </xdr:cNvPr>
        <xdr:cNvCxnSpPr/>
      </xdr:nvCxnSpPr>
      <xdr:spPr>
        <a:xfrm rot="10800000" flipV="1">
          <a:off x="3429000" y="2830285"/>
          <a:ext cx="10820402" cy="2394858"/>
        </a:xfrm>
        <a:prstGeom prst="bentConnector3">
          <a:avLst>
            <a:gd name="adj1" fmla="val 50000"/>
          </a:avLst>
        </a:prstGeom>
        <a:ln w="38100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</xdr:colOff>
      <xdr:row>6</xdr:row>
      <xdr:rowOff>7619</xdr:rowOff>
    </xdr:from>
    <xdr:to>
      <xdr:col>15</xdr:col>
      <xdr:colOff>571500</xdr:colOff>
      <xdr:row>30</xdr:row>
      <xdr:rowOff>15240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80F21EA-A542-42FF-92FD-4CF188C8375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45719</xdr:colOff>
      <xdr:row>38</xdr:row>
      <xdr:rowOff>181002</xdr:rowOff>
    </xdr:from>
    <xdr:to>
      <xdr:col>15</xdr:col>
      <xdr:colOff>571500</xdr:colOff>
      <xdr:row>63</xdr:row>
      <xdr:rowOff>15240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D224A83-A33A-4497-AA4D-524E06B50B2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380999</xdr:colOff>
      <xdr:row>13</xdr:row>
      <xdr:rowOff>171451</xdr:rowOff>
    </xdr:from>
    <xdr:to>
      <xdr:col>22</xdr:col>
      <xdr:colOff>581025</xdr:colOff>
      <xdr:row>28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931ECA-F675-4593-BA88-DDFC98BD68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380999</xdr:colOff>
      <xdr:row>1</xdr:row>
      <xdr:rowOff>1</xdr:rowOff>
    </xdr:from>
    <xdr:to>
      <xdr:col>22</xdr:col>
      <xdr:colOff>581025</xdr:colOff>
      <xdr:row>13</xdr:row>
      <xdr:rowOff>171450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2D632CA-D042-4535-9683-6D8CCD767A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9525</xdr:colOff>
      <xdr:row>0</xdr:row>
      <xdr:rowOff>47625</xdr:rowOff>
    </xdr:from>
    <xdr:ext cx="5083699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B6DC753F-75E5-4A47-9192-C758583482F5}"/>
                </a:ext>
              </a:extLst>
            </xdr:cNvPr>
            <xdr:cNvSpPr txBox="1"/>
          </xdr:nvSpPr>
          <xdr:spPr>
            <a:xfrm>
              <a:off x="3038475" y="47625"/>
              <a:ext cx="5083699" cy="38036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1+</m:t>
                        </m:r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𝐵𝑃𝑆𝐾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𝐷𝑟𝑖𝑣𝑒𝑟𝑠</m:t>
                    </m:r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𝑁𝑢𝑚𝑏𝑒𝑟𝑠</m:t>
                    </m:r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𝑇𝑋𝐿𝐷𝑂</m:t>
                        </m:r>
                        <m:d>
                          <m:d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</m:d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f>
                          <m:f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𝑇𝑋</m:t>
                            </m:r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𝑑𝑟𝑜𝑝</m:t>
                            </m:r>
                            <m:d>
                              <m:dPr>
                                <m:ctrlP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𝑚𝑉</m:t>
                                </m:r>
                              </m:e>
                            </m:d>
                          </m:num>
                          <m:den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1000</m:t>
                            </m:r>
                          </m:den>
                        </m:f>
                      </m:e>
                    </m:d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f>
                      <m:f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𝑅𝑒𝑠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𝐶𝑎𝑟𝑟𝑖𝑒𝑟</m:t>
                        </m:r>
                      </m:num>
                      <m:den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100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B6DC753F-75E5-4A47-9192-C758583482F5}"/>
                </a:ext>
              </a:extLst>
            </xdr:cNvPr>
            <xdr:cNvSpPr txBox="1"/>
          </xdr:nvSpPr>
          <xdr:spPr>
            <a:xfrm>
              <a:off x="3038475" y="47625"/>
              <a:ext cx="5083699" cy="38036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=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(1+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𝐵𝑃𝑆𝐾)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𝐷𝑟𝑖𝑣𝑒𝑟𝑠 𝑁𝑢𝑚𝑏𝑒𝑟𝑠×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𝑇𝑋𝐿𝐷𝑂(𝑉)+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𝑇𝑋 𝑑𝑟𝑜𝑝(𝑚𝑉)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1000)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𝑅𝑒𝑠. 𝐶𝑎𝑟𝑟𝑖𝑒𝑟)/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100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13</xdr:col>
      <xdr:colOff>381000</xdr:colOff>
      <xdr:row>28</xdr:row>
      <xdr:rowOff>147637</xdr:rowOff>
    </xdr:from>
    <xdr:to>
      <xdr:col>22</xdr:col>
      <xdr:colOff>590550</xdr:colOff>
      <xdr:row>43</xdr:row>
      <xdr:rowOff>113962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F6773C-951E-4336-A0FD-5A6E43322A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4"/>
  <sheetViews>
    <sheetView showGridLines="0" tabSelected="1" workbookViewId="0">
      <selection activeCell="D11" sqref="D11"/>
    </sheetView>
  </sheetViews>
  <sheetFormatPr defaultRowHeight="15" x14ac:dyDescent="0.25"/>
  <cols>
    <col min="1" max="1" width="3" customWidth="1"/>
    <col min="2" max="2" width="8.5703125" bestFit="1" customWidth="1"/>
    <col min="3" max="3" width="10.42578125" bestFit="1" customWidth="1"/>
    <col min="4" max="4" width="41.85546875" bestFit="1" customWidth="1"/>
  </cols>
  <sheetData>
    <row r="2" spans="2:4" x14ac:dyDescent="0.25">
      <c r="B2" s="82" t="s">
        <v>141</v>
      </c>
      <c r="C2" s="82" t="s">
        <v>142</v>
      </c>
      <c r="D2" s="82" t="s">
        <v>143</v>
      </c>
    </row>
    <row r="3" spans="2:4" x14ac:dyDescent="0.25">
      <c r="B3" s="83" t="s">
        <v>144</v>
      </c>
      <c r="C3" s="88">
        <v>44335</v>
      </c>
      <c r="D3" s="84" t="s">
        <v>155</v>
      </c>
    </row>
    <row r="4" spans="2:4" x14ac:dyDescent="0.25">
      <c r="B4" s="83"/>
      <c r="C4" s="84"/>
      <c r="D4" s="8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5">
    <tabColor rgb="FF92D050"/>
  </sheetPr>
  <dimension ref="C1:T155"/>
  <sheetViews>
    <sheetView showGridLines="0" zoomScale="85" zoomScaleNormal="85" workbookViewId="0">
      <selection activeCell="L3" sqref="L3"/>
    </sheetView>
  </sheetViews>
  <sheetFormatPr defaultRowHeight="15" x14ac:dyDescent="0.25"/>
  <cols>
    <col min="1" max="1" width="3.28515625" customWidth="1"/>
    <col min="2" max="2" width="3.7109375" customWidth="1"/>
    <col min="3" max="3" width="28" customWidth="1"/>
    <col min="4" max="4" width="13.5703125" customWidth="1"/>
    <col min="5" max="5" width="6.42578125" bestFit="1" customWidth="1"/>
    <col min="6" max="6" width="8" bestFit="1" customWidth="1"/>
    <col min="7" max="7" width="1.5703125" bestFit="1" customWidth="1"/>
    <col min="8" max="8" width="14.28515625" customWidth="1"/>
    <col min="9" max="9" width="16.140625" customWidth="1"/>
    <col min="10" max="10" width="14.28515625" customWidth="1"/>
    <col min="11" max="11" width="12.28515625" style="1" customWidth="1"/>
    <col min="12" max="12" width="13.7109375" style="3" customWidth="1"/>
    <col min="13" max="13" width="13.140625" customWidth="1"/>
    <col min="14" max="14" width="11.85546875" customWidth="1"/>
    <col min="15" max="15" width="45.42578125" bestFit="1" customWidth="1"/>
    <col min="16" max="17" width="9.42578125" bestFit="1" customWidth="1"/>
    <col min="18" max="19" width="10.28515625" customWidth="1"/>
  </cols>
  <sheetData>
    <row r="1" spans="3:20" s="9" customFormat="1" ht="36" x14ac:dyDescent="0.55000000000000004">
      <c r="C1" s="89" t="s">
        <v>121</v>
      </c>
      <c r="D1" s="89"/>
      <c r="E1" s="89"/>
      <c r="F1" s="89"/>
      <c r="G1" s="89"/>
      <c r="H1" s="89"/>
      <c r="I1" s="89"/>
      <c r="J1" s="89"/>
      <c r="K1" s="89"/>
      <c r="L1" s="10"/>
    </row>
    <row r="2" spans="3:20" s="9" customFormat="1" x14ac:dyDescent="0.25">
      <c r="C2" s="10" t="s">
        <v>26</v>
      </c>
      <c r="D2" s="10"/>
      <c r="E2" s="10" t="s">
        <v>21</v>
      </c>
      <c r="F2" s="10"/>
      <c r="G2" s="10"/>
      <c r="L2" s="10"/>
    </row>
    <row r="3" spans="3:20" s="9" customFormat="1" x14ac:dyDescent="0.25">
      <c r="C3" s="44" t="s">
        <v>67</v>
      </c>
      <c r="D3" s="38" t="s">
        <v>43</v>
      </c>
      <c r="E3" s="13" t="s">
        <v>17</v>
      </c>
      <c r="F3" s="29" t="str">
        <f>BIN2HEX(IF(D3="Disable","0","1")&amp;"00"&amp;DEC2BIN(ID_REF_AB,5),2)&amp;" "</f>
        <v xml:space="preserve">83 </v>
      </c>
      <c r="G3" s="21" t="s">
        <v>44</v>
      </c>
      <c r="J3" s="92" t="s">
        <v>80</v>
      </c>
      <c r="K3" s="93"/>
      <c r="L3" s="52" t="s">
        <v>140</v>
      </c>
      <c r="M3" s="11"/>
      <c r="N3" s="10"/>
    </row>
    <row r="4" spans="3:20" s="9" customFormat="1" ht="14.45" customHeight="1" x14ac:dyDescent="0.25">
      <c r="C4" s="44" t="s">
        <v>68</v>
      </c>
      <c r="D4" s="38" t="s">
        <v>30</v>
      </c>
      <c r="E4" s="13" t="s">
        <v>17</v>
      </c>
      <c r="F4" s="90" t="str">
        <f>BIN2HEX(IF(DLMA_ENA_SINGLE_TX_AB="No","0","1")&amp;IF(DLMA_ENA_BPSK_AB="No","0","1")&amp;(IF(LMA_TX_SHIFT_AB&lt;0,"1","0"))&amp;DEC2BIN(ABS(LMA_TX_SHIFT_AB),5),2)&amp;" "</f>
        <v xml:space="preserve">C0 </v>
      </c>
      <c r="G4" s="21"/>
      <c r="H4" s="91" t="s">
        <v>37</v>
      </c>
      <c r="I4" s="91" t="s">
        <v>69</v>
      </c>
      <c r="J4" s="91" t="s">
        <v>138</v>
      </c>
      <c r="M4" s="11"/>
      <c r="N4" s="10"/>
    </row>
    <row r="5" spans="3:20" s="9" customFormat="1" x14ac:dyDescent="0.25">
      <c r="C5" s="44" t="s">
        <v>70</v>
      </c>
      <c r="D5" s="38" t="s">
        <v>30</v>
      </c>
      <c r="E5" s="13" t="s">
        <v>17</v>
      </c>
      <c r="F5" s="90"/>
      <c r="G5" s="21"/>
      <c r="H5" s="91"/>
      <c r="I5" s="91"/>
      <c r="J5" s="91"/>
      <c r="M5" s="11"/>
      <c r="N5" s="10"/>
    </row>
    <row r="6" spans="3:20" s="9" customFormat="1" x14ac:dyDescent="0.25">
      <c r="C6" s="13" t="s">
        <v>32</v>
      </c>
      <c r="D6" s="23">
        <f>H6/J6</f>
        <v>3.982843137254902</v>
      </c>
      <c r="E6" s="13" t="s">
        <v>17</v>
      </c>
      <c r="F6" s="90"/>
      <c r="G6" s="21"/>
      <c r="H6" s="41">
        <f>'DLMA RSSI Settings'!$D$6</f>
        <v>65</v>
      </c>
      <c r="I6" s="43" t="str">
        <f>TEXT(ID_REF_AB,"00")</f>
        <v>03</v>
      </c>
      <c r="J6" s="41">
        <f>LOOKUP(HEX2DEC(I6),'DLMA TX Settings'!$B$3:$B$42,'DLMA TX Settings'!$D$3:$D$42)</f>
        <v>16.32</v>
      </c>
      <c r="L6" s="13"/>
      <c r="M6" s="20"/>
      <c r="N6" s="10"/>
    </row>
    <row r="7" spans="3:20" s="9" customFormat="1" x14ac:dyDescent="0.25">
      <c r="C7" s="13" t="s">
        <v>33</v>
      </c>
      <c r="D7" s="23">
        <f>H7/J7</f>
        <v>3.982843137254902</v>
      </c>
      <c r="E7" s="13" t="s">
        <v>17</v>
      </c>
      <c r="F7" s="90"/>
      <c r="G7" s="21"/>
      <c r="H7" s="42">
        <v>65</v>
      </c>
      <c r="I7" s="81" t="str">
        <f>T12</f>
        <v>03</v>
      </c>
      <c r="J7" s="41">
        <f>LOOKUP(HEX2DEC(I7),'DLMA TX Settings'!$B$3:$B$42,'DLMA TX Settings'!$D$3:$D$42)</f>
        <v>16.32</v>
      </c>
      <c r="L7" s="10"/>
      <c r="M7" s="21"/>
    </row>
    <row r="8" spans="3:20" s="9" customFormat="1" x14ac:dyDescent="0.25">
      <c r="C8" s="13" t="s">
        <v>127</v>
      </c>
      <c r="D8" s="39">
        <v>0</v>
      </c>
      <c r="E8" s="13" t="s">
        <v>17</v>
      </c>
      <c r="F8" s="90"/>
      <c r="G8" s="21"/>
      <c r="H8" s="19"/>
      <c r="L8" s="10"/>
      <c r="M8" s="21"/>
    </row>
    <row r="9" spans="3:20" s="9" customFormat="1" ht="15.75" thickBot="1" x14ac:dyDescent="0.3">
      <c r="C9" s="17" t="s">
        <v>71</v>
      </c>
      <c r="D9" s="37">
        <f>IF($L$3="Yes",0,ROUND(LOG(D7/LMA_TX_ref_AB)/LOG(1.1),0)+$D$8)</f>
        <v>0</v>
      </c>
      <c r="E9" s="13" t="s">
        <v>17</v>
      </c>
      <c r="F9" s="90"/>
      <c r="G9" s="21"/>
      <c r="H9" s="19"/>
      <c r="L9" s="10"/>
    </row>
    <row r="10" spans="3:20" s="9" customFormat="1" ht="14.45" customHeight="1" thickBot="1" x14ac:dyDescent="0.3">
      <c r="C10" s="44" t="s">
        <v>72</v>
      </c>
      <c r="D10" s="39">
        <v>5.25</v>
      </c>
      <c r="E10" s="13" t="s">
        <v>35</v>
      </c>
      <c r="F10" s="90" t="str">
        <f>BIN2HEX(RIGHT(IF(DLMA_LIMIT_TXLDO_AB=2.7,"0000",IF(DLMA_LIMIT_TXLDO_AB=3,"0001",IF(DLMA_LIMIT_TXLDO_AB=3.3,"0010",IF(DLMA_LIMIT_TXLDO_AB=3.6,"0011",IF(DLMA_LIMIT_TXLDO_AB=3.9,"0100",IF(DLMA_LIMIT_TXLDO_AB=4.2,"0101",IF(DLMA_LIMIT_TXLDO_AB=4.5,"0110",IF(DLMA_LIMIT_TXLDO_AB=4.7,"0111",IF(DLMA_LIMIT_TXLDO_AB=4.75,"1000",IF(DLMA_LIMIT_TXLDO_AB=5,"1001",IF(DLMA_LIMIT_TXLDO_AB=5.25,"1010")))))))))))&amp;"00"&amp;DEC2BIN(DLMA_RSSI_H_SCALE_AB,10),8),2)&amp;" "&amp;BIN2HEX(LEFT(IF(DLMA_LIMIT_TXLDO_AB=2.7,"0000",IF(DLMA_LIMIT_TXLDO_AB=3,"0001",IF(DLMA_LIMIT_TXLDO_AB=3.3,"0010",IF(DLMA_LIMIT_TXLDO_AB=3.6,"0011",IF(DLMA_LIMIT_TXLDO_AB=3.9,"0100",IF(DLMA_LIMIT_TXLDO_AB=4.2,"0101",IF(DLMA_LIMIT_TXLDO_AB=4.5,"0110",IF(DLMA_LIMIT_TXLDO_AB=4.7,"0111",IF(DLMA_LIMIT_TXLDO_AB=4.75,"1000",IF(DLMA_LIMIT_TXLDO_AB=5,"1001",IF(DLMA_LIMIT_TXLDO_AB=5.25,"1010")))))))))))&amp;"00"&amp;DEC2BIN(DLMA_RSSI_H_SCALE_AB,10),8),2)&amp;" "</f>
        <v xml:space="preserve">80 A0 </v>
      </c>
      <c r="G10" s="13"/>
      <c r="H10" s="19"/>
      <c r="L10" s="10"/>
      <c r="P10" s="94" t="s">
        <v>150</v>
      </c>
      <c r="Q10" s="95"/>
      <c r="R10" s="95" t="s">
        <v>151</v>
      </c>
      <c r="S10" s="96"/>
    </row>
    <row r="11" spans="3:20" s="9" customFormat="1" ht="15.75" thickBot="1" x14ac:dyDescent="0.3">
      <c r="C11" s="45" t="s">
        <v>45</v>
      </c>
      <c r="D11" s="80">
        <f>Q13</f>
        <v>375</v>
      </c>
      <c r="E11" s="13" t="s">
        <v>17</v>
      </c>
      <c r="F11" s="90"/>
      <c r="G11" s="13"/>
      <c r="H11" s="19"/>
      <c r="L11" s="10"/>
      <c r="O11"/>
      <c r="P11" s="85" t="s">
        <v>152</v>
      </c>
      <c r="Q11" s="86" t="s">
        <v>153</v>
      </c>
      <c r="R11" s="86" t="s">
        <v>152</v>
      </c>
      <c r="S11" s="86" t="s">
        <v>153</v>
      </c>
      <c r="T11" s="48" t="s">
        <v>154</v>
      </c>
    </row>
    <row r="12" spans="3:20" s="9" customFormat="1" ht="15.75" thickBot="1" x14ac:dyDescent="0.3">
      <c r="C12" s="13" t="s">
        <v>128</v>
      </c>
      <c r="D12" s="39">
        <v>0</v>
      </c>
      <c r="E12" s="13" t="s">
        <v>17</v>
      </c>
      <c r="F12" s="90"/>
      <c r="G12" s="21"/>
      <c r="H12" s="19"/>
      <c r="L12" s="10"/>
      <c r="M12" s="21"/>
      <c r="N12" s="79" t="s">
        <v>136</v>
      </c>
      <c r="O12" s="47" t="s">
        <v>149</v>
      </c>
      <c r="P12" s="41" t="str">
        <f>MID($O12,7+1*2,2)&amp;MID($O12,7,2)</f>
        <v>0092</v>
      </c>
      <c r="Q12" s="43">
        <f>HEX2DEC(P12)</f>
        <v>146</v>
      </c>
      <c r="R12" s="43" t="str">
        <f>MID($O12,7+3*2,2)&amp;MID($O12,7+2*2,2)</f>
        <v>0092</v>
      </c>
      <c r="S12" s="43">
        <f t="shared" ref="S12" si="0">HEX2DEC(R12)</f>
        <v>146</v>
      </c>
      <c r="T12" s="87" t="str">
        <f>MID($O12,7+5*2,2)</f>
        <v>03</v>
      </c>
    </row>
    <row r="13" spans="3:20" s="9" customFormat="1" ht="15.75" thickBot="1" x14ac:dyDescent="0.3">
      <c r="C13" s="17" t="s">
        <v>73</v>
      </c>
      <c r="D13" s="37">
        <f>IF($L$3="Yes",128,ROUND(RSSI_H_ratio_ref/ROUND(D11/5,0)*128,0)+$D$12)</f>
        <v>128</v>
      </c>
      <c r="E13" s="13" t="s">
        <v>17</v>
      </c>
      <c r="F13" s="90"/>
      <c r="G13" s="13"/>
      <c r="H13" s="19"/>
      <c r="L13" s="10"/>
      <c r="N13" s="79" t="s">
        <v>137</v>
      </c>
      <c r="O13" s="47" t="s">
        <v>148</v>
      </c>
      <c r="P13" s="49" t="str">
        <f>MID($O13,7+1*2,2)&amp;MID($O13,7,2)</f>
        <v>0177</v>
      </c>
      <c r="Q13" s="50">
        <f>HEX2DEC(P13)</f>
        <v>375</v>
      </c>
      <c r="R13" s="50" t="str">
        <f>MID($O13,7+3*2,2)&amp;MID($O13,7+2*2,2)</f>
        <v>0177</v>
      </c>
      <c r="S13" s="50">
        <f>HEX2DEC(R13)</f>
        <v>375</v>
      </c>
      <c r="T13" s="51" t="str">
        <f>MID($O13,7+5*2,2)</f>
        <v>04</v>
      </c>
    </row>
    <row r="14" spans="3:20" x14ac:dyDescent="0.25">
      <c r="C14" s="17"/>
      <c r="D14" s="2"/>
      <c r="E14" s="19"/>
      <c r="F14" s="19"/>
      <c r="G14" s="19"/>
      <c r="H14" s="19"/>
      <c r="I14" s="10"/>
      <c r="J14" s="10"/>
      <c r="K14"/>
      <c r="L14"/>
      <c r="S14" s="9"/>
    </row>
    <row r="15" spans="3:20" ht="36" x14ac:dyDescent="0.55000000000000004">
      <c r="C15" s="89" t="s">
        <v>42</v>
      </c>
      <c r="D15" s="89"/>
      <c r="E15" s="89"/>
      <c r="F15" s="89"/>
      <c r="G15" s="89"/>
      <c r="H15" s="89"/>
      <c r="I15" s="89"/>
      <c r="J15" s="89"/>
      <c r="K15" s="89"/>
      <c r="L15"/>
      <c r="S15" s="9"/>
    </row>
    <row r="16" spans="3:20" x14ac:dyDescent="0.25">
      <c r="C16" s="10" t="s">
        <v>26</v>
      </c>
      <c r="D16" s="10"/>
      <c r="E16" s="10" t="s">
        <v>21</v>
      </c>
      <c r="F16" s="10"/>
      <c r="G16" s="10"/>
      <c r="K16"/>
      <c r="L16"/>
    </row>
    <row r="17" spans="3:20" ht="15.75" thickBot="1" x14ac:dyDescent="0.3">
      <c r="C17" s="44" t="s">
        <v>67</v>
      </c>
      <c r="D17" s="38" t="s">
        <v>43</v>
      </c>
      <c r="E17" s="13" t="s">
        <v>17</v>
      </c>
      <c r="F17" s="29" t="str">
        <f>BIN2HEX(IF(D17="Disable","0","1")&amp;"00"&amp;DEC2BIN(ID_REF_F,5),2)&amp;" "</f>
        <v xml:space="preserve">83 </v>
      </c>
      <c r="G17" s="13"/>
      <c r="K17"/>
      <c r="L17"/>
    </row>
    <row r="18" spans="3:20" ht="15" customHeight="1" thickBot="1" x14ac:dyDescent="0.3">
      <c r="C18" s="44" t="s">
        <v>74</v>
      </c>
      <c r="D18" s="38" t="s">
        <v>30</v>
      </c>
      <c r="E18" s="13" t="s">
        <v>17</v>
      </c>
      <c r="F18" s="90" t="str">
        <f>BIN2HEX(IF(DLMA_ENA_SINGLE_TX_F="No","0","1")&amp;IF(DLMA_ENA_BPSK_F="No","0","1")&amp;(IF(LMA_TX_SHIFT_F&lt;0,"1","0"))&amp;DEC2BIN(ABS(LMA_TX_SHIFT_F),5),2)&amp;" "</f>
        <v xml:space="preserve">80 </v>
      </c>
      <c r="G18" s="13"/>
      <c r="H18" s="91" t="s">
        <v>37</v>
      </c>
      <c r="I18" s="91" t="s">
        <v>69</v>
      </c>
      <c r="J18" s="91" t="s">
        <v>138</v>
      </c>
      <c r="K18" s="22"/>
      <c r="L18"/>
      <c r="P18" s="94" t="s">
        <v>150</v>
      </c>
      <c r="Q18" s="95"/>
      <c r="R18" s="95" t="s">
        <v>151</v>
      </c>
      <c r="S18" s="96"/>
      <c r="T18" s="9"/>
    </row>
    <row r="19" spans="3:20" ht="15.75" thickBot="1" x14ac:dyDescent="0.3">
      <c r="C19" s="44" t="s">
        <v>75</v>
      </c>
      <c r="D19" s="38" t="s">
        <v>140</v>
      </c>
      <c r="E19" s="13" t="s">
        <v>17</v>
      </c>
      <c r="F19" s="90"/>
      <c r="G19" s="13"/>
      <c r="H19" s="91"/>
      <c r="I19" s="91"/>
      <c r="J19" s="91"/>
      <c r="K19" s="22"/>
      <c r="L19"/>
      <c r="N19" s="9"/>
      <c r="P19" s="85" t="s">
        <v>152</v>
      </c>
      <c r="Q19" s="86" t="s">
        <v>153</v>
      </c>
      <c r="R19" s="86" t="s">
        <v>152</v>
      </c>
      <c r="S19" s="86" t="s">
        <v>153</v>
      </c>
      <c r="T19" s="48" t="s">
        <v>154</v>
      </c>
    </row>
    <row r="20" spans="3:20" ht="15.75" thickBot="1" x14ac:dyDescent="0.3">
      <c r="C20" s="13" t="s">
        <v>32</v>
      </c>
      <c r="D20" s="23">
        <f>H20/J20</f>
        <v>1.8995098039215685</v>
      </c>
      <c r="E20" s="13" t="s">
        <v>17</v>
      </c>
      <c r="F20" s="90"/>
      <c r="G20" s="13"/>
      <c r="H20" s="41">
        <f>'DLMA RSSI Settings'!$D$39</f>
        <v>31</v>
      </c>
      <c r="I20" s="43" t="str">
        <f>TEXT(ID_REF_F,"00")</f>
        <v>03</v>
      </c>
      <c r="J20" s="41">
        <f>LOOKUP(HEX2DEC(I20),'DLMA TX Settings'!$B$3:$B$42,'DLMA TX Settings'!$D$3:$D$42)</f>
        <v>16.32</v>
      </c>
      <c r="K20"/>
      <c r="L20"/>
      <c r="N20" s="79" t="s">
        <v>136</v>
      </c>
      <c r="O20" s="47" t="s">
        <v>139</v>
      </c>
      <c r="P20" s="49" t="str">
        <f>MID($O20,7+1*2,2)&amp;MID($O20,7,2)</f>
        <v>001F</v>
      </c>
      <c r="Q20" s="50">
        <f>HEX2DEC(P20)</f>
        <v>31</v>
      </c>
      <c r="R20" s="50" t="str">
        <f>MID($O20,7+3*2,2)&amp;MID($O20,7+2*2,2)</f>
        <v>001F</v>
      </c>
      <c r="S20" s="50">
        <f t="shared" ref="S20" si="1">HEX2DEC(R20)</f>
        <v>31</v>
      </c>
      <c r="T20" s="51" t="str">
        <f>MID($O20,7+5*2,2)</f>
        <v>03</v>
      </c>
    </row>
    <row r="21" spans="3:20" x14ac:dyDescent="0.25">
      <c r="C21" s="13" t="s">
        <v>33</v>
      </c>
      <c r="D21" s="23">
        <f>H21/J21</f>
        <v>1.8995098039215685</v>
      </c>
      <c r="E21" s="13" t="s">
        <v>17</v>
      </c>
      <c r="F21" s="90"/>
      <c r="G21" s="13"/>
      <c r="H21" s="42">
        <v>31</v>
      </c>
      <c r="I21" s="81" t="str">
        <f>T20</f>
        <v>03</v>
      </c>
      <c r="J21" s="41">
        <f>LOOKUP(HEX2DEC(I21),'DLMA TX Settings'!$B$3:$B$42,'DLMA TX Settings'!$D$3:$D$42)</f>
        <v>16.32</v>
      </c>
      <c r="K21"/>
      <c r="L21"/>
    </row>
    <row r="22" spans="3:20" s="9" customFormat="1" x14ac:dyDescent="0.25">
      <c r="C22" s="13" t="s">
        <v>127</v>
      </c>
      <c r="D22" s="39">
        <v>0</v>
      </c>
      <c r="E22" s="13" t="s">
        <v>17</v>
      </c>
      <c r="F22" s="90"/>
      <c r="G22" s="21"/>
      <c r="H22" s="19"/>
      <c r="L22" s="10"/>
      <c r="M22" s="21"/>
      <c r="N22"/>
      <c r="O22"/>
      <c r="P22"/>
      <c r="Q22"/>
      <c r="R22"/>
    </row>
    <row r="23" spans="3:20" x14ac:dyDescent="0.25">
      <c r="C23" s="17" t="s">
        <v>76</v>
      </c>
      <c r="D23" s="37">
        <f>IF($L$3="Yes",0,ROUND(LOG(D21/LMA_TX_ref_F)/LOG(1.1),0)+$D$22)</f>
        <v>0</v>
      </c>
      <c r="E23" s="13" t="s">
        <v>17</v>
      </c>
      <c r="F23" s="90"/>
      <c r="G23" s="13"/>
      <c r="H23" s="19"/>
      <c r="I23" s="9"/>
      <c r="J23" s="9"/>
      <c r="K23"/>
      <c r="L23"/>
    </row>
    <row r="24" spans="3:20" x14ac:dyDescent="0.25">
      <c r="C24" s="44" t="s">
        <v>77</v>
      </c>
      <c r="D24" s="39">
        <v>5.25</v>
      </c>
      <c r="E24" s="13" t="s">
        <v>35</v>
      </c>
      <c r="F24" s="90" t="str">
        <f>BIN2HEX(RIGHT(IF(DLMA_LIMIT_TXLDO_F=2.7,"0000",IF(DLMA_LIMIT_TXLDO_F=3,"0001",IF(DLMA_LIMIT_TXLDO_F=3.3,"0010",IF(DLMA_LIMIT_TXLDO_F=3.6,"0011",IF(DLMA_LIMIT_TXLDO_F=3.9,"0100",IF(DLMA_LIMIT_TXLDO_F=4.2,"0101",IF(DLMA_LIMIT_TXLDO_F=4.5,"0110",IF(DLMA_LIMIT_TXLDO_F=4.7,"0111",IF(DLMA_LIMIT_TXLDO_F=4.75,"1000",IF(DLMA_LIMIT_TXLDO_F=5,"1001",IF(DLMA_LIMIT_TXLDO_F=5.25,"1010")))))))))))&amp;"00"&amp;DEC2BIN(DLMA_RSSI_H_SCALE_F,10),8),2)&amp;" "&amp;BIN2HEX(LEFT(IF(DLMA_LIMIT_TXLDO_F=2.7,"0000",IF(DLMA_LIMIT_TXLDO_F=3,"0001",IF(DLMA_LIMIT_TXLDO_F=3.3,"0010",IF(DLMA_LIMIT_TXLDO_F=3.6,"0011",IF(DLMA_LIMIT_TXLDO_F=3.9,"0100",IF(DLMA_LIMIT_TXLDO_F=4.2,"0101",IF(DLMA_LIMIT_TXLDO_F=4.5,"0110",IF(DLMA_LIMIT_TXLDO_F=4.7,"0111",IF(DLMA_LIMIT_TXLDO_F=4.75,"1000",IF(DLMA_LIMIT_TXLDO_F=5,"1001",IF(DLMA_LIMIT_TXLDO_F=5.25,"1010")))))))))))&amp;"00"&amp;DEC2BIN(DLMA_RSSI_H_SCALE_F,10),8),2)&amp;" "</f>
        <v xml:space="preserve">80 A0 </v>
      </c>
      <c r="G24" s="13"/>
      <c r="H24" s="19"/>
      <c r="I24" s="9"/>
      <c r="J24" s="9"/>
      <c r="K24"/>
      <c r="L24"/>
    </row>
    <row r="25" spans="3:20" x14ac:dyDescent="0.25">
      <c r="C25" s="45" t="s">
        <v>45</v>
      </c>
      <c r="D25" s="80">
        <f>D11</f>
        <v>375</v>
      </c>
      <c r="E25" s="13" t="s">
        <v>17</v>
      </c>
      <c r="F25" s="90"/>
      <c r="G25" s="13"/>
      <c r="H25" s="19"/>
      <c r="I25" s="9"/>
      <c r="J25" s="9"/>
      <c r="K25"/>
      <c r="L25"/>
      <c r="O25" s="9"/>
      <c r="P25" s="9"/>
      <c r="Q25" s="9"/>
      <c r="R25" s="9"/>
    </row>
    <row r="26" spans="3:20" s="9" customFormat="1" x14ac:dyDescent="0.25">
      <c r="C26" s="13" t="s">
        <v>128</v>
      </c>
      <c r="D26" s="39">
        <v>0</v>
      </c>
      <c r="E26" s="13" t="s">
        <v>17</v>
      </c>
      <c r="F26" s="90"/>
      <c r="G26" s="21"/>
      <c r="H26" s="19"/>
      <c r="L26" s="10"/>
      <c r="M26" s="21"/>
      <c r="O26"/>
      <c r="P26"/>
      <c r="Q26"/>
      <c r="R26"/>
    </row>
    <row r="27" spans="3:20" x14ac:dyDescent="0.25">
      <c r="C27" s="17" t="s">
        <v>78</v>
      </c>
      <c r="D27" s="37">
        <f>IF($L$3="Yes",128,ROUND(RSSI_H_ratio_ref/ROUND(D25/5,0)*128,0)+$D$26)</f>
        <v>128</v>
      </c>
      <c r="E27" s="13" t="s">
        <v>17</v>
      </c>
      <c r="F27" s="90"/>
      <c r="H27" s="19"/>
      <c r="I27" s="9"/>
      <c r="J27" s="9"/>
      <c r="K27"/>
      <c r="L27"/>
    </row>
    <row r="28" spans="3:20" x14ac:dyDescent="0.25">
      <c r="K28"/>
      <c r="L28"/>
    </row>
    <row r="29" spans="3:20" ht="36" x14ac:dyDescent="0.55000000000000004">
      <c r="C29" s="89" t="s">
        <v>122</v>
      </c>
      <c r="D29" s="89"/>
      <c r="E29" s="89"/>
      <c r="F29" s="89"/>
      <c r="G29" s="89"/>
      <c r="H29" s="89"/>
      <c r="I29" s="89"/>
      <c r="J29" s="89"/>
      <c r="K29" s="89"/>
      <c r="L29"/>
    </row>
    <row r="30" spans="3:20" x14ac:dyDescent="0.25">
      <c r="C30" s="10" t="s">
        <v>26</v>
      </c>
      <c r="D30" s="10"/>
      <c r="E30" s="10" t="s">
        <v>21</v>
      </c>
      <c r="K30"/>
      <c r="L30"/>
    </row>
    <row r="31" spans="3:20" x14ac:dyDescent="0.25">
      <c r="C31" s="75" t="s">
        <v>123</v>
      </c>
      <c r="D31" s="40" t="s">
        <v>43</v>
      </c>
      <c r="E31" s="24" t="s">
        <v>17</v>
      </c>
      <c r="F31" s="97" t="str">
        <f>BIN2HEX("0"&amp;IF(D31="Disable","0","1")&amp;IF(D32="Disable","0","1")&amp;"1"&amp;"0"&amp;IF(D33="Disable","0","1")&amp;IF(D34="Disable","0","1")&amp;"1",2)&amp;" "</f>
        <v xml:space="preserve">77 </v>
      </c>
      <c r="K31"/>
      <c r="L31"/>
    </row>
    <row r="32" spans="3:20" x14ac:dyDescent="0.25">
      <c r="C32" s="75" t="s">
        <v>125</v>
      </c>
      <c r="D32" s="40" t="s">
        <v>43</v>
      </c>
      <c r="E32" s="24" t="s">
        <v>17</v>
      </c>
      <c r="F32" s="98"/>
      <c r="K32"/>
      <c r="L32"/>
    </row>
    <row r="33" spans="3:12" x14ac:dyDescent="0.25">
      <c r="C33" s="75" t="s">
        <v>124</v>
      </c>
      <c r="D33" s="40" t="s">
        <v>43</v>
      </c>
      <c r="E33" s="24" t="s">
        <v>17</v>
      </c>
      <c r="F33" s="98"/>
      <c r="K33"/>
      <c r="L33"/>
    </row>
    <row r="34" spans="3:12" x14ac:dyDescent="0.25">
      <c r="C34" s="75" t="s">
        <v>126</v>
      </c>
      <c r="D34" s="40" t="s">
        <v>43</v>
      </c>
      <c r="E34" s="24" t="s">
        <v>17</v>
      </c>
      <c r="F34" s="99"/>
      <c r="K34"/>
      <c r="L34"/>
    </row>
    <row r="35" spans="3:12" x14ac:dyDescent="0.25">
      <c r="K35"/>
      <c r="L35"/>
    </row>
    <row r="36" spans="3:12" x14ac:dyDescent="0.25">
      <c r="K36"/>
      <c r="L36"/>
    </row>
    <row r="37" spans="3:12" x14ac:dyDescent="0.25">
      <c r="K37"/>
      <c r="L37"/>
    </row>
    <row r="38" spans="3:12" x14ac:dyDescent="0.25">
      <c r="K38"/>
      <c r="L38"/>
    </row>
    <row r="39" spans="3:12" x14ac:dyDescent="0.25">
      <c r="K39"/>
      <c r="L39"/>
    </row>
    <row r="40" spans="3:12" x14ac:dyDescent="0.25">
      <c r="K40"/>
      <c r="L40"/>
    </row>
    <row r="41" spans="3:12" x14ac:dyDescent="0.25">
      <c r="K41"/>
      <c r="L41"/>
    </row>
    <row r="42" spans="3:12" x14ac:dyDescent="0.25">
      <c r="K42"/>
      <c r="L42"/>
    </row>
    <row r="43" spans="3:12" x14ac:dyDescent="0.25">
      <c r="K43"/>
      <c r="L43"/>
    </row>
    <row r="44" spans="3:12" x14ac:dyDescent="0.25">
      <c r="K44"/>
      <c r="L44"/>
    </row>
    <row r="45" spans="3:12" x14ac:dyDescent="0.25">
      <c r="K45"/>
      <c r="L45"/>
    </row>
    <row r="46" spans="3:12" x14ac:dyDescent="0.25">
      <c r="K46"/>
      <c r="L46"/>
    </row>
    <row r="47" spans="3:12" x14ac:dyDescent="0.25">
      <c r="K47"/>
      <c r="L47"/>
    </row>
    <row r="48" spans="3:12" x14ac:dyDescent="0.25">
      <c r="K48"/>
      <c r="L48"/>
    </row>
    <row r="49" spans="11:12" x14ac:dyDescent="0.25">
      <c r="K49"/>
      <c r="L49"/>
    </row>
    <row r="50" spans="11:12" x14ac:dyDescent="0.25">
      <c r="K50"/>
      <c r="L50"/>
    </row>
    <row r="51" spans="11:12" x14ac:dyDescent="0.25">
      <c r="K51"/>
      <c r="L51"/>
    </row>
    <row r="52" spans="11:12" x14ac:dyDescent="0.25">
      <c r="K52"/>
      <c r="L52"/>
    </row>
    <row r="53" spans="11:12" x14ac:dyDescent="0.25">
      <c r="K53"/>
      <c r="L53"/>
    </row>
    <row r="54" spans="11:12" x14ac:dyDescent="0.25">
      <c r="K54"/>
      <c r="L54"/>
    </row>
    <row r="55" spans="11:12" x14ac:dyDescent="0.25">
      <c r="K55"/>
      <c r="L55"/>
    </row>
    <row r="56" spans="11:12" x14ac:dyDescent="0.25">
      <c r="K56"/>
      <c r="L56"/>
    </row>
    <row r="57" spans="11:12" x14ac:dyDescent="0.25">
      <c r="K57"/>
      <c r="L57"/>
    </row>
    <row r="58" spans="11:12" x14ac:dyDescent="0.25">
      <c r="K58"/>
      <c r="L58"/>
    </row>
    <row r="59" spans="11:12" x14ac:dyDescent="0.25">
      <c r="K59"/>
      <c r="L59"/>
    </row>
    <row r="60" spans="11:12" x14ac:dyDescent="0.25">
      <c r="K60"/>
      <c r="L60"/>
    </row>
    <row r="61" spans="11:12" x14ac:dyDescent="0.25">
      <c r="K61"/>
      <c r="L61"/>
    </row>
    <row r="62" spans="11:12" x14ac:dyDescent="0.25">
      <c r="K62"/>
      <c r="L62"/>
    </row>
    <row r="63" spans="11:12" x14ac:dyDescent="0.25">
      <c r="K63"/>
      <c r="L63"/>
    </row>
    <row r="64" spans="11:12" x14ac:dyDescent="0.25">
      <c r="K64"/>
      <c r="L64"/>
    </row>
    <row r="65" spans="11:12" x14ac:dyDescent="0.25">
      <c r="K65"/>
      <c r="L65"/>
    </row>
    <row r="66" spans="11:12" x14ac:dyDescent="0.25">
      <c r="K66"/>
      <c r="L66"/>
    </row>
    <row r="67" spans="11:12" x14ac:dyDescent="0.25">
      <c r="K67"/>
      <c r="L67"/>
    </row>
    <row r="68" spans="11:12" x14ac:dyDescent="0.25">
      <c r="K68"/>
      <c r="L68"/>
    </row>
    <row r="69" spans="11:12" x14ac:dyDescent="0.25">
      <c r="K69"/>
      <c r="L69"/>
    </row>
    <row r="70" spans="11:12" x14ac:dyDescent="0.25">
      <c r="K70"/>
      <c r="L70"/>
    </row>
    <row r="71" spans="11:12" x14ac:dyDescent="0.25">
      <c r="K71"/>
      <c r="L71"/>
    </row>
    <row r="72" spans="11:12" x14ac:dyDescent="0.25">
      <c r="K72"/>
      <c r="L72"/>
    </row>
    <row r="73" spans="11:12" x14ac:dyDescent="0.25">
      <c r="K73"/>
      <c r="L73"/>
    </row>
    <row r="74" spans="11:12" x14ac:dyDescent="0.25">
      <c r="K74"/>
      <c r="L74"/>
    </row>
    <row r="75" spans="11:12" x14ac:dyDescent="0.25">
      <c r="K75"/>
      <c r="L75"/>
    </row>
    <row r="76" spans="11:12" x14ac:dyDescent="0.25">
      <c r="K76"/>
      <c r="L76"/>
    </row>
    <row r="77" spans="11:12" x14ac:dyDescent="0.25">
      <c r="K77"/>
      <c r="L77"/>
    </row>
    <row r="78" spans="11:12" x14ac:dyDescent="0.25">
      <c r="K78"/>
      <c r="L78"/>
    </row>
    <row r="79" spans="11:12" x14ac:dyDescent="0.25">
      <c r="K79"/>
      <c r="L79"/>
    </row>
    <row r="80" spans="11:12" x14ac:dyDescent="0.25">
      <c r="K80"/>
      <c r="L80"/>
    </row>
    <row r="81" spans="11:12" x14ac:dyDescent="0.25">
      <c r="K81"/>
      <c r="L81"/>
    </row>
    <row r="82" spans="11:12" x14ac:dyDescent="0.25">
      <c r="K82"/>
      <c r="L82"/>
    </row>
    <row r="83" spans="11:12" x14ac:dyDescent="0.25">
      <c r="K83"/>
      <c r="L83"/>
    </row>
    <row r="84" spans="11:12" x14ac:dyDescent="0.25">
      <c r="K84"/>
      <c r="L84"/>
    </row>
    <row r="85" spans="11:12" x14ac:dyDescent="0.25">
      <c r="K85"/>
      <c r="L85"/>
    </row>
    <row r="86" spans="11:12" x14ac:dyDescent="0.25">
      <c r="K86"/>
      <c r="L86"/>
    </row>
    <row r="87" spans="11:12" x14ac:dyDescent="0.25">
      <c r="K87"/>
      <c r="L87"/>
    </row>
    <row r="88" spans="11:12" x14ac:dyDescent="0.25">
      <c r="K88"/>
      <c r="L88"/>
    </row>
    <row r="89" spans="11:12" x14ac:dyDescent="0.25">
      <c r="K89"/>
      <c r="L89"/>
    </row>
    <row r="90" spans="11:12" x14ac:dyDescent="0.25">
      <c r="K90"/>
      <c r="L90"/>
    </row>
    <row r="91" spans="11:12" x14ac:dyDescent="0.25">
      <c r="K91"/>
      <c r="L91"/>
    </row>
    <row r="92" spans="11:12" x14ac:dyDescent="0.25">
      <c r="K92"/>
      <c r="L92"/>
    </row>
    <row r="93" spans="11:12" x14ac:dyDescent="0.25">
      <c r="K93"/>
      <c r="L93"/>
    </row>
    <row r="94" spans="11:12" x14ac:dyDescent="0.25">
      <c r="K94"/>
      <c r="L94"/>
    </row>
    <row r="95" spans="11:12" x14ac:dyDescent="0.25">
      <c r="K95"/>
      <c r="L95"/>
    </row>
    <row r="96" spans="11:12" x14ac:dyDescent="0.25">
      <c r="K96"/>
      <c r="L96"/>
    </row>
    <row r="97" spans="11:12" x14ac:dyDescent="0.25">
      <c r="K97"/>
      <c r="L97"/>
    </row>
    <row r="98" spans="11:12" x14ac:dyDescent="0.25">
      <c r="K98"/>
      <c r="L98"/>
    </row>
    <row r="99" spans="11:12" x14ac:dyDescent="0.25">
      <c r="K99"/>
      <c r="L99"/>
    </row>
    <row r="100" spans="11:12" x14ac:dyDescent="0.25">
      <c r="K100"/>
      <c r="L100"/>
    </row>
    <row r="101" spans="11:12" x14ac:dyDescent="0.25">
      <c r="K101"/>
      <c r="L101"/>
    </row>
    <row r="102" spans="11:12" x14ac:dyDescent="0.25">
      <c r="K102"/>
      <c r="L102"/>
    </row>
    <row r="103" spans="11:12" x14ac:dyDescent="0.25">
      <c r="K103"/>
      <c r="L103"/>
    </row>
    <row r="104" spans="11:12" x14ac:dyDescent="0.25">
      <c r="K104"/>
      <c r="L104"/>
    </row>
    <row r="105" spans="11:12" x14ac:dyDescent="0.25">
      <c r="K105"/>
      <c r="L105"/>
    </row>
    <row r="106" spans="11:12" x14ac:dyDescent="0.25">
      <c r="K106"/>
      <c r="L106"/>
    </row>
    <row r="107" spans="11:12" x14ac:dyDescent="0.25">
      <c r="K107"/>
      <c r="L107"/>
    </row>
    <row r="108" spans="11:12" x14ac:dyDescent="0.25">
      <c r="K108"/>
      <c r="L108"/>
    </row>
    <row r="109" spans="11:12" x14ac:dyDescent="0.25">
      <c r="K109"/>
      <c r="L109"/>
    </row>
    <row r="110" spans="11:12" x14ac:dyDescent="0.25">
      <c r="K110"/>
      <c r="L110"/>
    </row>
    <row r="111" spans="11:12" x14ac:dyDescent="0.25">
      <c r="K111"/>
      <c r="L111"/>
    </row>
    <row r="112" spans="11:12" x14ac:dyDescent="0.25">
      <c r="K112"/>
      <c r="L112"/>
    </row>
    <row r="113" spans="11:12" x14ac:dyDescent="0.25">
      <c r="K113"/>
      <c r="L113"/>
    </row>
    <row r="114" spans="11:12" x14ac:dyDescent="0.25">
      <c r="K114"/>
      <c r="L114"/>
    </row>
    <row r="115" spans="11:12" x14ac:dyDescent="0.25">
      <c r="K115"/>
      <c r="L115"/>
    </row>
    <row r="116" spans="11:12" x14ac:dyDescent="0.25">
      <c r="K116"/>
      <c r="L116"/>
    </row>
    <row r="117" spans="11:12" x14ac:dyDescent="0.25">
      <c r="K117"/>
      <c r="L117"/>
    </row>
    <row r="118" spans="11:12" x14ac:dyDescent="0.25">
      <c r="K118"/>
      <c r="L118"/>
    </row>
    <row r="119" spans="11:12" x14ac:dyDescent="0.25">
      <c r="K119"/>
      <c r="L119"/>
    </row>
    <row r="120" spans="11:12" x14ac:dyDescent="0.25">
      <c r="K120"/>
      <c r="L120"/>
    </row>
    <row r="121" spans="11:12" x14ac:dyDescent="0.25">
      <c r="K121"/>
      <c r="L121"/>
    </row>
    <row r="122" spans="11:12" x14ac:dyDescent="0.25">
      <c r="K122"/>
      <c r="L122"/>
    </row>
    <row r="123" spans="11:12" x14ac:dyDescent="0.25">
      <c r="K123"/>
      <c r="L123"/>
    </row>
    <row r="124" spans="11:12" x14ac:dyDescent="0.25">
      <c r="K124"/>
      <c r="L124"/>
    </row>
    <row r="125" spans="11:12" x14ac:dyDescent="0.25">
      <c r="K125"/>
      <c r="L125"/>
    </row>
    <row r="126" spans="11:12" x14ac:dyDescent="0.25">
      <c r="K126"/>
      <c r="L126"/>
    </row>
    <row r="127" spans="11:12" x14ac:dyDescent="0.25">
      <c r="K127"/>
      <c r="L127"/>
    </row>
    <row r="128" spans="11:12" x14ac:dyDescent="0.25">
      <c r="K128"/>
      <c r="L128"/>
    </row>
    <row r="129" spans="11:12" x14ac:dyDescent="0.25">
      <c r="K129"/>
      <c r="L129"/>
    </row>
    <row r="130" spans="11:12" x14ac:dyDescent="0.25">
      <c r="K130"/>
      <c r="L130"/>
    </row>
    <row r="131" spans="11:12" x14ac:dyDescent="0.25">
      <c r="K131"/>
      <c r="L131"/>
    </row>
    <row r="132" spans="11:12" x14ac:dyDescent="0.25">
      <c r="K132"/>
      <c r="L132"/>
    </row>
    <row r="133" spans="11:12" x14ac:dyDescent="0.25">
      <c r="K133"/>
      <c r="L133"/>
    </row>
    <row r="134" spans="11:12" x14ac:dyDescent="0.25">
      <c r="K134"/>
      <c r="L134"/>
    </row>
    <row r="135" spans="11:12" x14ac:dyDescent="0.25">
      <c r="K135"/>
      <c r="L135"/>
    </row>
    <row r="136" spans="11:12" x14ac:dyDescent="0.25">
      <c r="K136"/>
      <c r="L136"/>
    </row>
    <row r="137" spans="11:12" x14ac:dyDescent="0.25">
      <c r="K137"/>
      <c r="L137"/>
    </row>
    <row r="138" spans="11:12" x14ac:dyDescent="0.25">
      <c r="K138"/>
      <c r="L138"/>
    </row>
    <row r="139" spans="11:12" x14ac:dyDescent="0.25">
      <c r="K139"/>
      <c r="L139"/>
    </row>
    <row r="140" spans="11:12" x14ac:dyDescent="0.25">
      <c r="K140"/>
      <c r="L140"/>
    </row>
    <row r="141" spans="11:12" x14ac:dyDescent="0.25">
      <c r="K141"/>
      <c r="L141"/>
    </row>
    <row r="142" spans="11:12" x14ac:dyDescent="0.25">
      <c r="K142"/>
      <c r="L142"/>
    </row>
    <row r="143" spans="11:12" x14ac:dyDescent="0.25">
      <c r="K143"/>
      <c r="L143"/>
    </row>
    <row r="144" spans="11:12" x14ac:dyDescent="0.25">
      <c r="K144"/>
      <c r="L144"/>
    </row>
    <row r="145" spans="11:12" x14ac:dyDescent="0.25">
      <c r="K145"/>
      <c r="L145"/>
    </row>
    <row r="146" spans="11:12" x14ac:dyDescent="0.25">
      <c r="K146"/>
      <c r="L146"/>
    </row>
    <row r="147" spans="11:12" x14ac:dyDescent="0.25">
      <c r="K147"/>
      <c r="L147"/>
    </row>
    <row r="148" spans="11:12" x14ac:dyDescent="0.25">
      <c r="K148"/>
      <c r="L148"/>
    </row>
    <row r="149" spans="11:12" x14ac:dyDescent="0.25">
      <c r="K149"/>
      <c r="L149"/>
    </row>
    <row r="150" spans="11:12" x14ac:dyDescent="0.25">
      <c r="K150"/>
      <c r="L150"/>
    </row>
    <row r="151" spans="11:12" x14ac:dyDescent="0.25">
      <c r="K151"/>
      <c r="L151"/>
    </row>
    <row r="152" spans="11:12" x14ac:dyDescent="0.25">
      <c r="K152"/>
      <c r="L152"/>
    </row>
    <row r="153" spans="11:12" x14ac:dyDescent="0.25">
      <c r="K153"/>
      <c r="L153"/>
    </row>
    <row r="154" spans="11:12" x14ac:dyDescent="0.25">
      <c r="K154"/>
      <c r="L154"/>
    </row>
    <row r="155" spans="11:12" x14ac:dyDescent="0.25">
      <c r="K155"/>
      <c r="L155"/>
    </row>
  </sheetData>
  <sheetProtection password="D697" sheet="1" formatCells="0" formatColumns="0" formatRows="0" insertColumns="0" insertRows="0" insertHyperlinks="0" deleteColumns="0" deleteRows="0" sort="0" autoFilter="0" pivotTables="0"/>
  <protectedRanges>
    <protectedRange sqref="O12:O13" name="Range3"/>
    <protectedRange sqref="D3:D5 H7:I7 D17:D19 H21:I21 D8 D22 D10:D12 D24:D26" name="Range1"/>
    <protectedRange sqref="D31:D34" name="Range2"/>
    <protectedRange sqref="L3" name="Range1_1"/>
    <protectedRange sqref="O20" name="Range3_4"/>
  </protectedRanges>
  <dataConsolidate/>
  <mergeCells count="19">
    <mergeCell ref="P10:Q10"/>
    <mergeCell ref="R10:S10"/>
    <mergeCell ref="P18:Q18"/>
    <mergeCell ref="R18:S18"/>
    <mergeCell ref="F31:F34"/>
    <mergeCell ref="C15:K15"/>
    <mergeCell ref="C1:K1"/>
    <mergeCell ref="C29:K29"/>
    <mergeCell ref="F4:F9"/>
    <mergeCell ref="F10:F13"/>
    <mergeCell ref="F18:F23"/>
    <mergeCell ref="F24:F27"/>
    <mergeCell ref="H4:H5"/>
    <mergeCell ref="I4:I5"/>
    <mergeCell ref="J4:J5"/>
    <mergeCell ref="H18:H19"/>
    <mergeCell ref="I18:I19"/>
    <mergeCell ref="J18:J19"/>
    <mergeCell ref="J3:K3"/>
  </mergeCells>
  <conditionalFormatting sqref="D21 D11 D25 H7:J7 H21:J21 D7:D8">
    <cfRule type="expression" dxfId="3" priority="4">
      <formula>$L$3="Yes"</formula>
    </cfRule>
  </conditionalFormatting>
  <conditionalFormatting sqref="D22">
    <cfRule type="expression" dxfId="2" priority="3">
      <formula>$L$3="Yes"</formula>
    </cfRule>
  </conditionalFormatting>
  <conditionalFormatting sqref="D12">
    <cfRule type="expression" dxfId="1" priority="2">
      <formula>$L$3="Yes"</formula>
    </cfRule>
  </conditionalFormatting>
  <conditionalFormatting sqref="D26">
    <cfRule type="expression" dxfId="0" priority="1">
      <formula>$L$3="Yes"</formula>
    </cfRule>
  </conditionalFormatting>
  <dataValidations count="3">
    <dataValidation type="list" allowBlank="1" showInputMessage="1" showErrorMessage="1" sqref="D24 D10" xr:uid="{00000000-0002-0000-0200-000000000000}">
      <formula1>"3,3.3,3.6,3.9,4.2,4.5,4.7,4.75,5,5.25"</formula1>
    </dataValidation>
    <dataValidation type="list" allowBlank="1" showInputMessage="1" showErrorMessage="1" sqref="D4:D5 D18:D19 L3" xr:uid="{00000000-0002-0000-0200-000001000000}">
      <formula1>"Yes,No"</formula1>
    </dataValidation>
    <dataValidation type="list" allowBlank="1" showInputMessage="1" showErrorMessage="1" sqref="D3 D17 D31:D34" xr:uid="{00000000-0002-0000-0200-000002000000}">
      <formula1>"Enable,Disable"</formula1>
    </dataValidation>
  </dataValidations>
  <pageMargins left="0.7" right="0.7" top="0.75" bottom="0.75" header="0.3" footer="0.3"/>
  <pageSetup orientation="portrait" r:id="rId1"/>
  <ignoredErrors>
    <ignoredError sqref="R12:R13 R20" 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4">
    <tabColor rgb="FFFF0000"/>
  </sheetPr>
  <dimension ref="A1:AA67"/>
  <sheetViews>
    <sheetView showGridLines="0" zoomScale="85" zoomScaleNormal="85" workbookViewId="0">
      <selection activeCell="L37" sqref="L37"/>
    </sheetView>
  </sheetViews>
  <sheetFormatPr defaultColWidth="8.85546875" defaultRowHeight="15" x14ac:dyDescent="0.25"/>
  <cols>
    <col min="1" max="1" width="17.42578125" style="56" bestFit="1" customWidth="1"/>
    <col min="2" max="2" width="12.85546875" style="56" bestFit="1" customWidth="1"/>
    <col min="3" max="3" width="19.28515625" style="56" bestFit="1" customWidth="1"/>
    <col min="4" max="4" width="15.7109375" style="56" bestFit="1" customWidth="1"/>
    <col min="5" max="5" width="14.28515625" style="56" hidden="1" customWidth="1"/>
    <col min="6" max="6" width="14" style="56" bestFit="1" customWidth="1"/>
    <col min="7" max="7" width="11.85546875" style="56" bestFit="1" customWidth="1"/>
    <col min="8" max="22" width="8.85546875" style="56"/>
    <col min="23" max="23" width="11.28515625" style="56" bestFit="1" customWidth="1"/>
    <col min="24" max="16384" width="8.85546875" style="56"/>
  </cols>
  <sheetData>
    <row r="1" spans="1:27" s="61" customFormat="1" ht="36" x14ac:dyDescent="0.55000000000000004">
      <c r="C1" s="102" t="s">
        <v>41</v>
      </c>
      <c r="D1" s="102"/>
      <c r="E1" s="102"/>
      <c r="F1" s="102"/>
    </row>
    <row r="2" spans="1:27" x14ac:dyDescent="0.25">
      <c r="C2" s="62"/>
      <c r="D2" s="62"/>
      <c r="E2" s="55"/>
      <c r="F2" s="55"/>
    </row>
    <row r="3" spans="1:27" s="63" customFormat="1" ht="24" thickBot="1" x14ac:dyDescent="0.4">
      <c r="C3" s="100" t="s">
        <v>28</v>
      </c>
      <c r="D3" s="100"/>
      <c r="E3" s="100"/>
      <c r="F3" s="100"/>
    </row>
    <row r="4" spans="1:27" ht="48" customHeight="1" x14ac:dyDescent="0.25">
      <c r="B4" s="101" t="s">
        <v>79</v>
      </c>
      <c r="C4" s="57" t="s">
        <v>18</v>
      </c>
      <c r="D4" s="57" t="s">
        <v>147</v>
      </c>
      <c r="E4" s="57" t="s">
        <v>34</v>
      </c>
      <c r="F4" s="57" t="s">
        <v>135</v>
      </c>
      <c r="G4" s="64" t="s">
        <v>38</v>
      </c>
      <c r="I4" s="65"/>
      <c r="J4" s="65"/>
      <c r="K4" s="65"/>
      <c r="L4" s="65"/>
      <c r="V4" s="66" t="str">
        <f>C4&amp;" extended"</f>
        <v>Field strength (A/m) extended</v>
      </c>
      <c r="W4" s="67" t="str">
        <f>D4&amp;" extended"</f>
        <v>Target (Type A+B) extended</v>
      </c>
      <c r="Z4" s="66" t="str">
        <f>C37&amp;" extended"</f>
        <v>Field strength (A/m) extended</v>
      </c>
      <c r="AA4" s="67" t="str">
        <f>D37&amp;" extended"</f>
        <v>Target (Type F) extended</v>
      </c>
    </row>
    <row r="5" spans="1:27" s="68" customFormat="1" x14ac:dyDescent="0.25">
      <c r="B5" s="101"/>
      <c r="C5" s="69" t="s">
        <v>24</v>
      </c>
      <c r="D5" s="69" t="s">
        <v>31</v>
      </c>
      <c r="E5" s="58" t="s">
        <v>25</v>
      </c>
      <c r="F5" s="69" t="s">
        <v>24</v>
      </c>
      <c r="G5" s="58"/>
      <c r="V5" s="70">
        <f t="shared" ref="V5:V36" si="0">INDEX($C$6:$C$30,ROUND((ROW(V5)-ROW($V$5))/2,0)+1)</f>
        <v>0</v>
      </c>
      <c r="W5" s="71">
        <f t="shared" ref="W5:W36" si="1">INDEX($D$6:$D$30,ROUND((ROW(W5)-ROW($W$5)+1)/2,0))</f>
        <v>65</v>
      </c>
      <c r="Z5" s="70">
        <f t="shared" ref="Z5:Z36" si="2">INDEX($C$39:$C$63,ROUND((ROW(Z5)-ROW($Z$5))/2,0)+1)</f>
        <v>0</v>
      </c>
      <c r="AA5" s="71">
        <f t="shared" ref="AA5:AA36" si="3">INDEX($D$39:$D$63,ROUND((ROW(AA5)-ROW($AA$5)+1)/2,0))</f>
        <v>31</v>
      </c>
    </row>
    <row r="6" spans="1:27" x14ac:dyDescent="0.25">
      <c r="B6" s="56">
        <v>0</v>
      </c>
      <c r="C6" s="72">
        <v>0</v>
      </c>
      <c r="D6" s="54">
        <v>65</v>
      </c>
      <c r="E6" s="59" t="str">
        <f>DEC2HEX(ROUND(C6*RSSI_H_ratio_ref, 0),4)</f>
        <v>0000</v>
      </c>
      <c r="F6" s="59"/>
      <c r="L6" s="60"/>
      <c r="V6" s="70">
        <f t="shared" si="0"/>
        <v>0.7</v>
      </c>
      <c r="W6" s="71">
        <f t="shared" si="1"/>
        <v>65</v>
      </c>
      <c r="Z6" s="70">
        <f t="shared" si="2"/>
        <v>2.5</v>
      </c>
      <c r="AA6" s="71">
        <f t="shared" si="3"/>
        <v>31</v>
      </c>
    </row>
    <row r="7" spans="1:27" x14ac:dyDescent="0.25">
      <c r="A7" s="56" t="str">
        <f>"dwRssiEntryAB_"&amp;DEC2HEX(B7,2)</f>
        <v>dwRssiEntryAB_01</v>
      </c>
      <c r="B7" s="56">
        <v>1</v>
      </c>
      <c r="C7" s="54">
        <v>0.7</v>
      </c>
      <c r="D7" s="73">
        <f>D6/1.1</f>
        <v>59.090909090909086</v>
      </c>
      <c r="E7" s="59" t="str">
        <f t="shared" ref="E7:E30" si="4">DEC2HEX(ROUND(C7*RSSI_H_ratio_ref, 0),4)</f>
        <v>0035</v>
      </c>
      <c r="F7" s="54">
        <v>0</v>
      </c>
      <c r="G7" s="74" t="str">
        <f t="shared" ref="G7:G30" si="5">RIGHT(E7,2)&amp;" "&amp;LEFT(E7,2)&amp;" "&amp;BIN2HEX(IF(F7&gt;=0,"0","1")&amp;DEC2BIN(ABS(F7),7),2)&amp;" "</f>
        <v xml:space="preserve">35 00 00 </v>
      </c>
      <c r="L7" s="60"/>
      <c r="V7" s="70">
        <f t="shared" si="0"/>
        <v>0.7</v>
      </c>
      <c r="W7" s="71">
        <f t="shared" si="1"/>
        <v>59.090909090909086</v>
      </c>
      <c r="Z7" s="70">
        <f t="shared" si="2"/>
        <v>2.5</v>
      </c>
      <c r="AA7" s="71">
        <f t="shared" si="3"/>
        <v>28.18181818181818</v>
      </c>
    </row>
    <row r="8" spans="1:27" x14ac:dyDescent="0.25">
      <c r="A8" s="56" t="str">
        <f t="shared" ref="A8:A30" si="6">"dwRssiEntryAB_"&amp;DEC2HEX(B8,2)</f>
        <v>dwRssiEntryAB_02</v>
      </c>
      <c r="B8" s="56">
        <v>2</v>
      </c>
      <c r="C8" s="54">
        <v>1</v>
      </c>
      <c r="D8" s="73">
        <f t="shared" ref="D8:D29" si="7">D7/1.1</f>
        <v>53.719008264462801</v>
      </c>
      <c r="E8" s="59" t="str">
        <f t="shared" si="4"/>
        <v>004B</v>
      </c>
      <c r="F8" s="54">
        <v>0</v>
      </c>
      <c r="G8" s="74" t="str">
        <f t="shared" si="5"/>
        <v xml:space="preserve">4B 00 00 </v>
      </c>
      <c r="L8" s="60"/>
      <c r="V8" s="70">
        <f t="shared" si="0"/>
        <v>1</v>
      </c>
      <c r="W8" s="71">
        <f t="shared" si="1"/>
        <v>59.090909090909086</v>
      </c>
      <c r="Z8" s="70">
        <f t="shared" si="2"/>
        <v>2.5</v>
      </c>
      <c r="AA8" s="71">
        <f t="shared" si="3"/>
        <v>28.18181818181818</v>
      </c>
    </row>
    <row r="9" spans="1:27" x14ac:dyDescent="0.25">
      <c r="A9" s="56" t="str">
        <f t="shared" si="6"/>
        <v>dwRssiEntryAB_03</v>
      </c>
      <c r="B9" s="56">
        <v>3</v>
      </c>
      <c r="C9" s="54">
        <v>1.5</v>
      </c>
      <c r="D9" s="73">
        <f>D8/1.1</f>
        <v>48.835462058602545</v>
      </c>
      <c r="E9" s="59" t="str">
        <f t="shared" si="4"/>
        <v>0071</v>
      </c>
      <c r="F9" s="54">
        <v>0</v>
      </c>
      <c r="G9" s="74" t="str">
        <f t="shared" si="5"/>
        <v xml:space="preserve">71 00 00 </v>
      </c>
      <c r="L9" s="60"/>
      <c r="V9" s="70">
        <f t="shared" si="0"/>
        <v>1</v>
      </c>
      <c r="W9" s="71">
        <f t="shared" si="1"/>
        <v>53.719008264462801</v>
      </c>
      <c r="Z9" s="70">
        <f t="shared" si="2"/>
        <v>2.5</v>
      </c>
      <c r="AA9" s="71">
        <f t="shared" si="3"/>
        <v>25.619834710743799</v>
      </c>
    </row>
    <row r="10" spans="1:27" x14ac:dyDescent="0.25">
      <c r="A10" s="56" t="str">
        <f t="shared" si="6"/>
        <v>dwRssiEntryAB_04</v>
      </c>
      <c r="B10" s="56">
        <v>4</v>
      </c>
      <c r="C10" s="54">
        <v>1.5</v>
      </c>
      <c r="D10" s="73">
        <f t="shared" si="7"/>
        <v>44.395874598729584</v>
      </c>
      <c r="E10" s="59" t="str">
        <f t="shared" si="4"/>
        <v>0071</v>
      </c>
      <c r="F10" s="54">
        <v>0</v>
      </c>
      <c r="G10" s="74" t="str">
        <f t="shared" si="5"/>
        <v xml:space="preserve">71 00 00 </v>
      </c>
      <c r="L10" s="60"/>
      <c r="V10" s="70">
        <f t="shared" si="0"/>
        <v>1.5</v>
      </c>
      <c r="W10" s="71">
        <f t="shared" si="1"/>
        <v>53.719008264462801</v>
      </c>
      <c r="Z10" s="70">
        <f t="shared" si="2"/>
        <v>2.5</v>
      </c>
      <c r="AA10" s="71">
        <f t="shared" si="3"/>
        <v>25.619834710743799</v>
      </c>
    </row>
    <row r="11" spans="1:27" x14ac:dyDescent="0.25">
      <c r="A11" s="56" t="str">
        <f t="shared" si="6"/>
        <v>dwRssiEntryAB_05</v>
      </c>
      <c r="B11" s="56">
        <v>5</v>
      </c>
      <c r="C11" s="54">
        <v>2</v>
      </c>
      <c r="D11" s="73">
        <f t="shared" si="7"/>
        <v>40.359885998845073</v>
      </c>
      <c r="E11" s="59" t="str">
        <f t="shared" si="4"/>
        <v>0096</v>
      </c>
      <c r="F11" s="54">
        <v>0</v>
      </c>
      <c r="G11" s="74" t="str">
        <f t="shared" si="5"/>
        <v xml:space="preserve">96 00 00 </v>
      </c>
      <c r="L11" s="60"/>
      <c r="V11" s="70">
        <f t="shared" si="0"/>
        <v>1.5</v>
      </c>
      <c r="W11" s="71">
        <f t="shared" si="1"/>
        <v>48.835462058602545</v>
      </c>
      <c r="Z11" s="70">
        <f t="shared" si="2"/>
        <v>2.5</v>
      </c>
      <c r="AA11" s="71">
        <f t="shared" si="3"/>
        <v>23.290758827948906</v>
      </c>
    </row>
    <row r="12" spans="1:27" x14ac:dyDescent="0.25">
      <c r="A12" s="56" t="str">
        <f t="shared" si="6"/>
        <v>dwRssiEntryAB_06</v>
      </c>
      <c r="B12" s="56">
        <v>6</v>
      </c>
      <c r="C12" s="54">
        <v>2.5</v>
      </c>
      <c r="D12" s="73">
        <f t="shared" si="7"/>
        <v>36.690805453495514</v>
      </c>
      <c r="E12" s="59" t="str">
        <f t="shared" si="4"/>
        <v>00BC</v>
      </c>
      <c r="F12" s="54">
        <v>0</v>
      </c>
      <c r="G12" s="74" t="str">
        <f t="shared" si="5"/>
        <v xml:space="preserve">BC 00 00 </v>
      </c>
      <c r="L12" s="60"/>
      <c r="V12" s="70">
        <f t="shared" si="0"/>
        <v>1.5</v>
      </c>
      <c r="W12" s="71">
        <f t="shared" si="1"/>
        <v>48.835462058602545</v>
      </c>
      <c r="Z12" s="70">
        <f t="shared" si="2"/>
        <v>2.5</v>
      </c>
      <c r="AA12" s="71">
        <f t="shared" si="3"/>
        <v>23.290758827948906</v>
      </c>
    </row>
    <row r="13" spans="1:27" x14ac:dyDescent="0.25">
      <c r="A13" s="56" t="str">
        <f t="shared" si="6"/>
        <v>dwRssiEntryAB_07</v>
      </c>
      <c r="B13" s="56">
        <v>7</v>
      </c>
      <c r="C13" s="54">
        <v>2.5</v>
      </c>
      <c r="D13" s="73">
        <f t="shared" si="7"/>
        <v>33.355277684995919</v>
      </c>
      <c r="E13" s="59" t="str">
        <f t="shared" si="4"/>
        <v>00BC</v>
      </c>
      <c r="F13" s="54">
        <v>0</v>
      </c>
      <c r="G13" s="74" t="str">
        <f t="shared" si="5"/>
        <v xml:space="preserve">BC 00 00 </v>
      </c>
      <c r="L13" s="60"/>
      <c r="V13" s="70">
        <f t="shared" si="0"/>
        <v>1.5</v>
      </c>
      <c r="W13" s="71">
        <f t="shared" si="1"/>
        <v>44.395874598729584</v>
      </c>
      <c r="Z13" s="70">
        <f t="shared" si="2"/>
        <v>2.5</v>
      </c>
      <c r="AA13" s="71">
        <f t="shared" si="3"/>
        <v>21.173417116317186</v>
      </c>
    </row>
    <row r="14" spans="1:27" x14ac:dyDescent="0.25">
      <c r="A14" s="56" t="str">
        <f t="shared" si="6"/>
        <v>dwRssiEntryAB_08</v>
      </c>
      <c r="B14" s="56">
        <v>8</v>
      </c>
      <c r="C14" s="54">
        <v>3</v>
      </c>
      <c r="D14" s="73">
        <f t="shared" si="7"/>
        <v>30.322979713632652</v>
      </c>
      <c r="E14" s="59" t="str">
        <f t="shared" si="4"/>
        <v>00E1</v>
      </c>
      <c r="F14" s="54">
        <v>0</v>
      </c>
      <c r="G14" s="74" t="str">
        <f t="shared" si="5"/>
        <v xml:space="preserve">E1 00 00 </v>
      </c>
      <c r="L14" s="60"/>
      <c r="V14" s="70">
        <f t="shared" si="0"/>
        <v>2</v>
      </c>
      <c r="W14" s="71">
        <f t="shared" si="1"/>
        <v>44.395874598729584</v>
      </c>
      <c r="Z14" s="70">
        <f t="shared" si="2"/>
        <v>3</v>
      </c>
      <c r="AA14" s="71">
        <f t="shared" si="3"/>
        <v>21.173417116317186</v>
      </c>
    </row>
    <row r="15" spans="1:27" x14ac:dyDescent="0.25">
      <c r="A15" s="56" t="str">
        <f t="shared" si="6"/>
        <v>dwRssiEntryAB_09</v>
      </c>
      <c r="B15" s="56">
        <v>9</v>
      </c>
      <c r="C15" s="54">
        <v>3.5</v>
      </c>
      <c r="D15" s="73">
        <f t="shared" si="7"/>
        <v>27.5663451942115</v>
      </c>
      <c r="E15" s="59" t="str">
        <f t="shared" si="4"/>
        <v>0107</v>
      </c>
      <c r="F15" s="54">
        <v>0</v>
      </c>
      <c r="G15" s="74" t="str">
        <f t="shared" si="5"/>
        <v xml:space="preserve">07 01 00 </v>
      </c>
      <c r="L15" s="60"/>
      <c r="V15" s="70">
        <f t="shared" si="0"/>
        <v>2</v>
      </c>
      <c r="W15" s="71">
        <f t="shared" si="1"/>
        <v>40.359885998845073</v>
      </c>
      <c r="Z15" s="70">
        <f t="shared" si="2"/>
        <v>3</v>
      </c>
      <c r="AA15" s="71">
        <f t="shared" si="3"/>
        <v>19.248561014833804</v>
      </c>
    </row>
    <row r="16" spans="1:27" x14ac:dyDescent="0.25">
      <c r="A16" s="56" t="str">
        <f t="shared" si="6"/>
        <v>dwRssiEntryAB_0A</v>
      </c>
      <c r="B16" s="56">
        <v>10</v>
      </c>
      <c r="C16" s="54">
        <v>3.5</v>
      </c>
      <c r="D16" s="73">
        <f t="shared" si="7"/>
        <v>25.060313812919542</v>
      </c>
      <c r="E16" s="59" t="str">
        <f t="shared" si="4"/>
        <v>0107</v>
      </c>
      <c r="F16" s="54">
        <v>0</v>
      </c>
      <c r="G16" s="74" t="str">
        <f t="shared" si="5"/>
        <v xml:space="preserve">07 01 00 </v>
      </c>
      <c r="L16" s="60"/>
      <c r="V16" s="70">
        <f t="shared" si="0"/>
        <v>2.5</v>
      </c>
      <c r="W16" s="71">
        <f t="shared" si="1"/>
        <v>40.359885998845073</v>
      </c>
      <c r="Z16" s="70">
        <f t="shared" si="2"/>
        <v>3</v>
      </c>
      <c r="AA16" s="71">
        <f t="shared" si="3"/>
        <v>19.248561014833804</v>
      </c>
    </row>
    <row r="17" spans="1:27" x14ac:dyDescent="0.25">
      <c r="A17" s="56" t="str">
        <f t="shared" si="6"/>
        <v>dwRssiEntryAB_0B</v>
      </c>
      <c r="B17" s="56">
        <v>11</v>
      </c>
      <c r="C17" s="54">
        <v>4</v>
      </c>
      <c r="D17" s="73">
        <f t="shared" si="7"/>
        <v>22.78210346629049</v>
      </c>
      <c r="E17" s="59" t="str">
        <f t="shared" si="4"/>
        <v>012C</v>
      </c>
      <c r="F17" s="54">
        <v>0</v>
      </c>
      <c r="G17" s="74" t="str">
        <f t="shared" si="5"/>
        <v xml:space="preserve">2C 01 00 </v>
      </c>
      <c r="L17" s="60"/>
      <c r="V17" s="70">
        <f t="shared" si="0"/>
        <v>2.5</v>
      </c>
      <c r="W17" s="71">
        <f t="shared" si="1"/>
        <v>36.690805453495514</v>
      </c>
      <c r="Z17" s="70">
        <f t="shared" si="2"/>
        <v>3</v>
      </c>
      <c r="AA17" s="71">
        <f t="shared" si="3"/>
        <v>17.498691831667092</v>
      </c>
    </row>
    <row r="18" spans="1:27" x14ac:dyDescent="0.25">
      <c r="A18" s="56" t="str">
        <f t="shared" si="6"/>
        <v>dwRssiEntryAB_0C</v>
      </c>
      <c r="B18" s="56">
        <v>12</v>
      </c>
      <c r="C18" s="54">
        <v>4</v>
      </c>
      <c r="D18" s="73">
        <f t="shared" si="7"/>
        <v>20.71100315117317</v>
      </c>
      <c r="E18" s="59" t="str">
        <f t="shared" si="4"/>
        <v>012C</v>
      </c>
      <c r="F18" s="54">
        <v>0</v>
      </c>
      <c r="G18" s="74" t="str">
        <f t="shared" si="5"/>
        <v xml:space="preserve">2C 01 00 </v>
      </c>
      <c r="L18" s="60"/>
      <c r="V18" s="70">
        <f t="shared" si="0"/>
        <v>2.5</v>
      </c>
      <c r="W18" s="71">
        <f t="shared" si="1"/>
        <v>36.690805453495514</v>
      </c>
      <c r="Z18" s="70">
        <f t="shared" si="2"/>
        <v>4</v>
      </c>
      <c r="AA18" s="71">
        <f t="shared" si="3"/>
        <v>17.498691831667092</v>
      </c>
    </row>
    <row r="19" spans="1:27" x14ac:dyDescent="0.25">
      <c r="A19" s="56" t="str">
        <f t="shared" si="6"/>
        <v>dwRssiEntryAB_0D</v>
      </c>
      <c r="B19" s="56">
        <v>13</v>
      </c>
      <c r="C19" s="54">
        <v>4.5</v>
      </c>
      <c r="D19" s="73">
        <f t="shared" si="7"/>
        <v>18.828184682884697</v>
      </c>
      <c r="E19" s="59" t="str">
        <f t="shared" si="4"/>
        <v>0152</v>
      </c>
      <c r="F19" s="54">
        <v>0</v>
      </c>
      <c r="G19" s="74" t="str">
        <f t="shared" si="5"/>
        <v xml:space="preserve">52 01 00 </v>
      </c>
      <c r="L19" s="60"/>
      <c r="V19" s="70">
        <f t="shared" si="0"/>
        <v>2.5</v>
      </c>
      <c r="W19" s="71">
        <f t="shared" si="1"/>
        <v>33.355277684995919</v>
      </c>
      <c r="Z19" s="70">
        <f t="shared" si="2"/>
        <v>4</v>
      </c>
      <c r="AA19" s="71">
        <f t="shared" si="3"/>
        <v>15.907901665151901</v>
      </c>
    </row>
    <row r="20" spans="1:27" x14ac:dyDescent="0.25">
      <c r="A20" s="56" t="str">
        <f t="shared" si="6"/>
        <v>dwRssiEntryAB_0E</v>
      </c>
      <c r="B20" s="56">
        <v>14</v>
      </c>
      <c r="C20" s="54">
        <v>4.5</v>
      </c>
      <c r="D20" s="73">
        <f t="shared" si="7"/>
        <v>17.116531529895177</v>
      </c>
      <c r="E20" s="59" t="str">
        <f t="shared" si="4"/>
        <v>0152</v>
      </c>
      <c r="F20" s="54">
        <v>0</v>
      </c>
      <c r="G20" s="74" t="str">
        <f t="shared" si="5"/>
        <v xml:space="preserve">52 01 00 </v>
      </c>
      <c r="L20" s="60"/>
      <c r="V20" s="70">
        <f t="shared" si="0"/>
        <v>3</v>
      </c>
      <c r="W20" s="71">
        <f t="shared" si="1"/>
        <v>33.355277684995919</v>
      </c>
      <c r="Z20" s="70">
        <f t="shared" si="2"/>
        <v>4</v>
      </c>
      <c r="AA20" s="71">
        <f t="shared" si="3"/>
        <v>15.907901665151901</v>
      </c>
    </row>
    <row r="21" spans="1:27" x14ac:dyDescent="0.25">
      <c r="A21" s="56" t="str">
        <f t="shared" si="6"/>
        <v>dwRssiEntryAB_0F</v>
      </c>
      <c r="B21" s="56">
        <v>15</v>
      </c>
      <c r="C21" s="54">
        <v>5</v>
      </c>
      <c r="D21" s="73">
        <f t="shared" si="7"/>
        <v>15.560483208995613</v>
      </c>
      <c r="E21" s="59" t="str">
        <f t="shared" si="4"/>
        <v>0177</v>
      </c>
      <c r="F21" s="54">
        <v>0</v>
      </c>
      <c r="G21" s="74" t="str">
        <f t="shared" si="5"/>
        <v xml:space="preserve">77 01 00 </v>
      </c>
      <c r="L21" s="60"/>
      <c r="V21" s="70">
        <f t="shared" si="0"/>
        <v>3</v>
      </c>
      <c r="W21" s="71">
        <f t="shared" si="1"/>
        <v>30.322979713632652</v>
      </c>
      <c r="Z21" s="70">
        <f t="shared" si="2"/>
        <v>4</v>
      </c>
      <c r="AA21" s="71">
        <f t="shared" si="3"/>
        <v>14.461728786501727</v>
      </c>
    </row>
    <row r="22" spans="1:27" x14ac:dyDescent="0.25">
      <c r="A22" s="56" t="str">
        <f t="shared" si="6"/>
        <v>dwRssiEntryAB_10</v>
      </c>
      <c r="B22" s="56">
        <v>16</v>
      </c>
      <c r="C22" s="54">
        <v>5</v>
      </c>
      <c r="D22" s="73">
        <f t="shared" si="7"/>
        <v>14.145893826359647</v>
      </c>
      <c r="E22" s="59" t="str">
        <f t="shared" si="4"/>
        <v>0177</v>
      </c>
      <c r="F22" s="54">
        <v>0</v>
      </c>
      <c r="G22" s="74" t="str">
        <f t="shared" si="5"/>
        <v xml:space="preserve">77 01 00 </v>
      </c>
      <c r="L22" s="60"/>
      <c r="V22" s="70">
        <f t="shared" si="0"/>
        <v>3.5</v>
      </c>
      <c r="W22" s="71">
        <f t="shared" si="1"/>
        <v>30.322979713632652</v>
      </c>
      <c r="Z22" s="70">
        <f t="shared" si="2"/>
        <v>4</v>
      </c>
      <c r="AA22" s="71">
        <f t="shared" si="3"/>
        <v>14.461728786501727</v>
      </c>
    </row>
    <row r="23" spans="1:27" x14ac:dyDescent="0.25">
      <c r="A23" s="56" t="str">
        <f t="shared" si="6"/>
        <v>dwRssiEntryAB_11</v>
      </c>
      <c r="B23" s="56">
        <v>17</v>
      </c>
      <c r="C23" s="54">
        <v>6</v>
      </c>
      <c r="D23" s="73">
        <f t="shared" si="7"/>
        <v>12.859903478508768</v>
      </c>
      <c r="E23" s="59" t="str">
        <f t="shared" si="4"/>
        <v>01C2</v>
      </c>
      <c r="F23" s="54">
        <v>0</v>
      </c>
      <c r="G23" s="74" t="str">
        <f t="shared" si="5"/>
        <v xml:space="preserve">C2 01 00 </v>
      </c>
      <c r="L23" s="60"/>
      <c r="V23" s="70">
        <f t="shared" si="0"/>
        <v>3.5</v>
      </c>
      <c r="W23" s="71">
        <f t="shared" si="1"/>
        <v>27.5663451942115</v>
      </c>
      <c r="Z23" s="70">
        <f t="shared" si="2"/>
        <v>4</v>
      </c>
      <c r="AA23" s="71">
        <f t="shared" si="3"/>
        <v>13.147026169547024</v>
      </c>
    </row>
    <row r="24" spans="1:27" x14ac:dyDescent="0.25">
      <c r="A24" s="56" t="str">
        <f t="shared" si="6"/>
        <v>dwRssiEntryAB_12</v>
      </c>
      <c r="B24" s="56">
        <v>18</v>
      </c>
      <c r="C24" s="54">
        <v>6</v>
      </c>
      <c r="D24" s="73">
        <f t="shared" si="7"/>
        <v>11.690821344098879</v>
      </c>
      <c r="E24" s="59" t="str">
        <f t="shared" si="4"/>
        <v>01C2</v>
      </c>
      <c r="F24" s="54">
        <v>0</v>
      </c>
      <c r="G24" s="74" t="str">
        <f t="shared" si="5"/>
        <v xml:space="preserve">C2 01 00 </v>
      </c>
      <c r="L24" s="60"/>
      <c r="V24" s="70">
        <f t="shared" si="0"/>
        <v>3.5</v>
      </c>
      <c r="W24" s="71">
        <f t="shared" si="1"/>
        <v>27.5663451942115</v>
      </c>
      <c r="Z24" s="70">
        <f t="shared" si="2"/>
        <v>4</v>
      </c>
      <c r="AA24" s="71">
        <f t="shared" si="3"/>
        <v>13.147026169547024</v>
      </c>
    </row>
    <row r="25" spans="1:27" x14ac:dyDescent="0.25">
      <c r="A25" s="56" t="str">
        <f t="shared" si="6"/>
        <v>dwRssiEntryAB_13</v>
      </c>
      <c r="B25" s="56">
        <v>19</v>
      </c>
      <c r="C25" s="54">
        <v>7</v>
      </c>
      <c r="D25" s="73">
        <f t="shared" si="7"/>
        <v>10.628019403726253</v>
      </c>
      <c r="E25" s="59" t="str">
        <f t="shared" si="4"/>
        <v>020D</v>
      </c>
      <c r="F25" s="54">
        <v>0</v>
      </c>
      <c r="G25" s="74" t="str">
        <f t="shared" si="5"/>
        <v xml:space="preserve">0D 02 00 </v>
      </c>
      <c r="L25" s="60"/>
      <c r="V25" s="70">
        <f t="shared" si="0"/>
        <v>3.5</v>
      </c>
      <c r="W25" s="71">
        <f t="shared" si="1"/>
        <v>25.060313812919542</v>
      </c>
      <c r="Z25" s="70">
        <f t="shared" si="2"/>
        <v>4</v>
      </c>
      <c r="AA25" s="71">
        <f t="shared" si="3"/>
        <v>11.951841972315476</v>
      </c>
    </row>
    <row r="26" spans="1:27" x14ac:dyDescent="0.25">
      <c r="A26" s="56" t="str">
        <f t="shared" si="6"/>
        <v>dwRssiEntryAB_14</v>
      </c>
      <c r="B26" s="56">
        <v>20</v>
      </c>
      <c r="C26" s="54">
        <v>7</v>
      </c>
      <c r="D26" s="73">
        <f t="shared" si="7"/>
        <v>9.6618358215693192</v>
      </c>
      <c r="E26" s="59" t="str">
        <f t="shared" si="4"/>
        <v>020D</v>
      </c>
      <c r="F26" s="54">
        <v>0</v>
      </c>
      <c r="G26" s="74" t="str">
        <f t="shared" si="5"/>
        <v xml:space="preserve">0D 02 00 </v>
      </c>
      <c r="L26" s="60"/>
      <c r="V26" s="70">
        <f t="shared" si="0"/>
        <v>4</v>
      </c>
      <c r="W26" s="71">
        <f t="shared" si="1"/>
        <v>25.060313812919542</v>
      </c>
      <c r="Z26" s="70">
        <f t="shared" si="2"/>
        <v>4</v>
      </c>
      <c r="AA26" s="71">
        <f t="shared" si="3"/>
        <v>11.951841972315476</v>
      </c>
    </row>
    <row r="27" spans="1:27" x14ac:dyDescent="0.25">
      <c r="A27" s="56" t="str">
        <f t="shared" si="6"/>
        <v>dwRssiEntryAB_15</v>
      </c>
      <c r="B27" s="56">
        <v>21</v>
      </c>
      <c r="C27" s="54">
        <v>8</v>
      </c>
      <c r="D27" s="73">
        <f t="shared" si="7"/>
        <v>8.7834871105175623</v>
      </c>
      <c r="E27" s="59" t="str">
        <f t="shared" si="4"/>
        <v>0258</v>
      </c>
      <c r="F27" s="54">
        <v>0</v>
      </c>
      <c r="G27" s="74" t="str">
        <f t="shared" si="5"/>
        <v xml:space="preserve">58 02 00 </v>
      </c>
      <c r="L27" s="60"/>
      <c r="V27" s="70">
        <f t="shared" si="0"/>
        <v>4</v>
      </c>
      <c r="W27" s="71">
        <f t="shared" si="1"/>
        <v>22.78210346629049</v>
      </c>
      <c r="Z27" s="70">
        <f t="shared" si="2"/>
        <v>4</v>
      </c>
      <c r="AA27" s="71">
        <f t="shared" si="3"/>
        <v>10.86531088392316</v>
      </c>
    </row>
    <row r="28" spans="1:27" x14ac:dyDescent="0.25">
      <c r="A28" s="56" t="str">
        <f t="shared" si="6"/>
        <v>dwRssiEntryAB_16</v>
      </c>
      <c r="B28" s="56">
        <v>22</v>
      </c>
      <c r="C28" s="54">
        <v>8</v>
      </c>
      <c r="D28" s="73">
        <f t="shared" si="7"/>
        <v>7.9849882822886924</v>
      </c>
      <c r="E28" s="59" t="str">
        <f t="shared" si="4"/>
        <v>0258</v>
      </c>
      <c r="F28" s="54">
        <v>0</v>
      </c>
      <c r="G28" s="74" t="str">
        <f t="shared" si="5"/>
        <v xml:space="preserve">58 02 00 </v>
      </c>
      <c r="L28" s="60"/>
      <c r="V28" s="70">
        <f t="shared" si="0"/>
        <v>4</v>
      </c>
      <c r="W28" s="71">
        <f t="shared" si="1"/>
        <v>22.78210346629049</v>
      </c>
      <c r="Z28" s="70">
        <f t="shared" si="2"/>
        <v>20</v>
      </c>
      <c r="AA28" s="71">
        <f t="shared" si="3"/>
        <v>10.86531088392316</v>
      </c>
    </row>
    <row r="29" spans="1:27" x14ac:dyDescent="0.25">
      <c r="A29" s="56" t="str">
        <f t="shared" si="6"/>
        <v>dwRssiEntryAB_17</v>
      </c>
      <c r="B29" s="56">
        <v>23</v>
      </c>
      <c r="C29" s="54">
        <v>10</v>
      </c>
      <c r="D29" s="73">
        <f t="shared" si="7"/>
        <v>7.259080256626083</v>
      </c>
      <c r="E29" s="59" t="str">
        <f t="shared" si="4"/>
        <v>02EE</v>
      </c>
      <c r="F29" s="54">
        <v>0</v>
      </c>
      <c r="G29" s="74" t="str">
        <f t="shared" si="5"/>
        <v xml:space="preserve">EE 02 00 </v>
      </c>
      <c r="L29" s="60"/>
      <c r="V29" s="70">
        <f t="shared" si="0"/>
        <v>4</v>
      </c>
      <c r="W29" s="71">
        <f t="shared" si="1"/>
        <v>20.71100315117317</v>
      </c>
      <c r="Z29" s="70">
        <f t="shared" si="2"/>
        <v>20</v>
      </c>
      <c r="AA29" s="71">
        <f t="shared" si="3"/>
        <v>9.877555349021053</v>
      </c>
    </row>
    <row r="30" spans="1:27" x14ac:dyDescent="0.25">
      <c r="A30" s="56" t="str">
        <f t="shared" si="6"/>
        <v>dwRssiEntryAB_18</v>
      </c>
      <c r="B30" s="56">
        <v>24</v>
      </c>
      <c r="C30" s="54">
        <v>10</v>
      </c>
      <c r="D30" s="73">
        <f>D29/1.1</f>
        <v>6.5991638696600745</v>
      </c>
      <c r="E30" s="59" t="str">
        <f t="shared" si="4"/>
        <v>02EE</v>
      </c>
      <c r="F30" s="54">
        <v>0</v>
      </c>
      <c r="G30" s="74" t="str">
        <f t="shared" si="5"/>
        <v xml:space="preserve">EE 02 00 </v>
      </c>
      <c r="L30" s="60"/>
      <c r="V30" s="70">
        <f t="shared" si="0"/>
        <v>4.5</v>
      </c>
      <c r="W30" s="71">
        <f t="shared" si="1"/>
        <v>20.71100315117317</v>
      </c>
      <c r="Z30" s="70">
        <f t="shared" si="2"/>
        <v>20</v>
      </c>
      <c r="AA30" s="71">
        <f t="shared" si="3"/>
        <v>9.877555349021053</v>
      </c>
    </row>
    <row r="31" spans="1:27" x14ac:dyDescent="0.25">
      <c r="L31" s="60"/>
      <c r="V31" s="70">
        <f t="shared" si="0"/>
        <v>4.5</v>
      </c>
      <c r="W31" s="71">
        <f t="shared" si="1"/>
        <v>18.828184682884697</v>
      </c>
      <c r="Z31" s="70">
        <f t="shared" si="2"/>
        <v>20</v>
      </c>
      <c r="AA31" s="71">
        <f t="shared" si="3"/>
        <v>8.9795957718373209</v>
      </c>
    </row>
    <row r="32" spans="1:27" x14ac:dyDescent="0.25">
      <c r="V32" s="70">
        <f t="shared" si="0"/>
        <v>4.5</v>
      </c>
      <c r="W32" s="71">
        <f t="shared" si="1"/>
        <v>18.828184682884697</v>
      </c>
      <c r="Z32" s="70">
        <f t="shared" si="2"/>
        <v>20</v>
      </c>
      <c r="AA32" s="71">
        <f t="shared" si="3"/>
        <v>8.9795957718373209</v>
      </c>
    </row>
    <row r="33" spans="1:27" x14ac:dyDescent="0.25">
      <c r="V33" s="70">
        <f t="shared" si="0"/>
        <v>4.5</v>
      </c>
      <c r="W33" s="71">
        <f t="shared" si="1"/>
        <v>17.116531529895177</v>
      </c>
      <c r="Z33" s="70">
        <f t="shared" si="2"/>
        <v>20</v>
      </c>
      <c r="AA33" s="71">
        <f t="shared" si="3"/>
        <v>8.1632688834884721</v>
      </c>
    </row>
    <row r="34" spans="1:27" ht="36" x14ac:dyDescent="0.55000000000000004">
      <c r="C34" s="102" t="s">
        <v>42</v>
      </c>
      <c r="D34" s="102"/>
      <c r="E34" s="102"/>
      <c r="F34" s="102"/>
      <c r="V34" s="70">
        <f t="shared" si="0"/>
        <v>5</v>
      </c>
      <c r="W34" s="71">
        <f t="shared" si="1"/>
        <v>17.116531529895177</v>
      </c>
      <c r="Z34" s="70">
        <f t="shared" si="2"/>
        <v>20</v>
      </c>
      <c r="AA34" s="71">
        <f t="shared" si="3"/>
        <v>8.1632688834884721</v>
      </c>
    </row>
    <row r="35" spans="1:27" x14ac:dyDescent="0.25">
      <c r="V35" s="70">
        <f t="shared" si="0"/>
        <v>5</v>
      </c>
      <c r="W35" s="71">
        <f t="shared" si="1"/>
        <v>15.560483208995613</v>
      </c>
      <c r="Z35" s="70">
        <f t="shared" si="2"/>
        <v>20</v>
      </c>
      <c r="AA35" s="71">
        <f t="shared" si="3"/>
        <v>7.421153530444065</v>
      </c>
    </row>
    <row r="36" spans="1:27" ht="23.25" x14ac:dyDescent="0.35">
      <c r="A36" s="63"/>
      <c r="B36" s="63"/>
      <c r="C36" s="100" t="s">
        <v>28</v>
      </c>
      <c r="D36" s="100"/>
      <c r="E36" s="100"/>
      <c r="F36" s="100"/>
      <c r="G36" s="63"/>
      <c r="V36" s="70">
        <f t="shared" si="0"/>
        <v>5</v>
      </c>
      <c r="W36" s="71">
        <f t="shared" si="1"/>
        <v>15.560483208995613</v>
      </c>
      <c r="Z36" s="70">
        <f t="shared" si="2"/>
        <v>20</v>
      </c>
      <c r="AA36" s="71">
        <f t="shared" si="3"/>
        <v>7.421153530444065</v>
      </c>
    </row>
    <row r="37" spans="1:27" ht="60" x14ac:dyDescent="0.25">
      <c r="B37" s="57" t="s">
        <v>79</v>
      </c>
      <c r="C37" s="57" t="s">
        <v>18</v>
      </c>
      <c r="D37" s="57" t="s">
        <v>146</v>
      </c>
      <c r="E37" s="57" t="s">
        <v>34</v>
      </c>
      <c r="F37" s="57" t="s">
        <v>135</v>
      </c>
      <c r="G37" s="64" t="s">
        <v>38</v>
      </c>
      <c r="V37" s="70">
        <f t="shared" ref="V37:V53" si="8">INDEX($C$6:$C$30,ROUND((ROW(V37)-ROW($V$5))/2,0)+1)</f>
        <v>5</v>
      </c>
      <c r="W37" s="71">
        <f t="shared" ref="W37:W53" si="9">INDEX($D$6:$D$30,ROUND((ROW(W37)-ROW($W$5)+1)/2,0))</f>
        <v>14.145893826359647</v>
      </c>
      <c r="Z37" s="70">
        <f t="shared" ref="Z37:Z53" si="10">INDEX($C$39:$C$63,ROUND((ROW(Z37)-ROW($Z$5))/2,0)+1)</f>
        <v>20</v>
      </c>
      <c r="AA37" s="71">
        <f t="shared" ref="AA37:AA53" si="11">INDEX($D$39:$D$63,ROUND((ROW(AA37)-ROW($AA$5)+1)/2,0))</f>
        <v>6.7465032094946036</v>
      </c>
    </row>
    <row r="38" spans="1:27" x14ac:dyDescent="0.25">
      <c r="A38" s="68"/>
      <c r="B38" s="69"/>
      <c r="C38" s="69" t="s">
        <v>24</v>
      </c>
      <c r="D38" s="69" t="s">
        <v>31</v>
      </c>
      <c r="E38" s="58" t="s">
        <v>25</v>
      </c>
      <c r="F38" s="69" t="s">
        <v>24</v>
      </c>
      <c r="G38" s="58"/>
      <c r="V38" s="70">
        <f t="shared" si="8"/>
        <v>6</v>
      </c>
      <c r="W38" s="71">
        <f t="shared" si="9"/>
        <v>14.145893826359647</v>
      </c>
      <c r="Z38" s="70">
        <f t="shared" si="10"/>
        <v>20</v>
      </c>
      <c r="AA38" s="71">
        <f t="shared" si="11"/>
        <v>6.7465032094946036</v>
      </c>
    </row>
    <row r="39" spans="1:27" x14ac:dyDescent="0.25">
      <c r="B39" s="56">
        <v>0</v>
      </c>
      <c r="C39" s="72">
        <v>0</v>
      </c>
      <c r="D39" s="54">
        <v>31</v>
      </c>
      <c r="E39" s="59" t="str">
        <f>DEC2HEX(ROUND(C39*RSSI_H_ratio_ref, 0),4)</f>
        <v>0000</v>
      </c>
      <c r="F39" s="59"/>
      <c r="V39" s="70">
        <f t="shared" si="8"/>
        <v>6</v>
      </c>
      <c r="W39" s="71">
        <f t="shared" si="9"/>
        <v>12.859903478508768</v>
      </c>
      <c r="Z39" s="70">
        <f t="shared" si="10"/>
        <v>20</v>
      </c>
      <c r="AA39" s="71">
        <f t="shared" si="11"/>
        <v>6.1331847359041847</v>
      </c>
    </row>
    <row r="40" spans="1:27" x14ac:dyDescent="0.25">
      <c r="A40" s="56" t="str">
        <f>"dwRssiEntryF_"&amp;DEC2HEX(B40,2)</f>
        <v>dwRssiEntryF_01</v>
      </c>
      <c r="B40" s="56">
        <v>1</v>
      </c>
      <c r="C40" s="54">
        <v>2.5</v>
      </c>
      <c r="D40" s="73">
        <f>D39/1.1</f>
        <v>28.18181818181818</v>
      </c>
      <c r="E40" s="59" t="str">
        <f t="shared" ref="E40:E63" si="12">DEC2HEX(ROUND(C40*RSSI_H_ratio_ref, 0),4)</f>
        <v>00BC</v>
      </c>
      <c r="F40" s="54">
        <v>0</v>
      </c>
      <c r="G40" s="74" t="str">
        <f>RIGHT(E40,2)&amp;" "&amp;LEFT(E40,2)&amp;" "&amp;BIN2HEX(IF(F40&gt;=0,"0","1")&amp;DEC2BIN(ABS(F40),7),2)&amp;" "</f>
        <v xml:space="preserve">BC 00 00 </v>
      </c>
      <c r="V40" s="70">
        <f t="shared" si="8"/>
        <v>6</v>
      </c>
      <c r="W40" s="71">
        <f t="shared" si="9"/>
        <v>12.859903478508768</v>
      </c>
      <c r="Z40" s="70">
        <f t="shared" si="10"/>
        <v>20</v>
      </c>
      <c r="AA40" s="71">
        <f t="shared" si="11"/>
        <v>6.1331847359041847</v>
      </c>
    </row>
    <row r="41" spans="1:27" x14ac:dyDescent="0.25">
      <c r="A41" s="56" t="str">
        <f t="shared" ref="A41:A63" si="13">"dwRssiEntryF_"&amp;DEC2HEX(B41,2)</f>
        <v>dwRssiEntryF_02</v>
      </c>
      <c r="B41" s="56">
        <v>2</v>
      </c>
      <c r="C41" s="54">
        <v>2.5</v>
      </c>
      <c r="D41" s="73">
        <f t="shared" ref="D41:D62" si="14">D40/1.1</f>
        <v>25.619834710743799</v>
      </c>
      <c r="E41" s="59" t="str">
        <f t="shared" si="12"/>
        <v>00BC</v>
      </c>
      <c r="F41" s="54">
        <v>0</v>
      </c>
      <c r="G41" s="74" t="str">
        <f t="shared" ref="G41:G63" si="15">RIGHT(E41,2)&amp;" "&amp;LEFT(E41,2)&amp;" "&amp;BIN2HEX(IF(F41&gt;=0,"0","1")&amp;DEC2BIN(ABS(F41),7),2)&amp;" "</f>
        <v xml:space="preserve">BC 00 00 </v>
      </c>
      <c r="V41" s="70">
        <f t="shared" si="8"/>
        <v>6</v>
      </c>
      <c r="W41" s="71">
        <f t="shared" si="9"/>
        <v>11.690821344098879</v>
      </c>
      <c r="Z41" s="70">
        <f t="shared" si="10"/>
        <v>20</v>
      </c>
      <c r="AA41" s="71">
        <f t="shared" si="11"/>
        <v>5.5756224871856217</v>
      </c>
    </row>
    <row r="42" spans="1:27" x14ac:dyDescent="0.25">
      <c r="A42" s="56" t="str">
        <f t="shared" si="13"/>
        <v>dwRssiEntryF_03</v>
      </c>
      <c r="B42" s="56">
        <v>3</v>
      </c>
      <c r="C42" s="54">
        <v>2.5</v>
      </c>
      <c r="D42" s="73">
        <f>D41/1.1</f>
        <v>23.290758827948906</v>
      </c>
      <c r="E42" s="59" t="str">
        <f t="shared" si="12"/>
        <v>00BC</v>
      </c>
      <c r="F42" s="54">
        <v>0</v>
      </c>
      <c r="G42" s="74" t="str">
        <f t="shared" si="15"/>
        <v xml:space="preserve">BC 00 00 </v>
      </c>
      <c r="V42" s="70">
        <f t="shared" si="8"/>
        <v>7</v>
      </c>
      <c r="W42" s="71">
        <f t="shared" si="9"/>
        <v>11.690821344098879</v>
      </c>
      <c r="Z42" s="70">
        <f t="shared" si="10"/>
        <v>20</v>
      </c>
      <c r="AA42" s="71">
        <f t="shared" si="11"/>
        <v>5.5756224871856217</v>
      </c>
    </row>
    <row r="43" spans="1:27" x14ac:dyDescent="0.25">
      <c r="A43" s="56" t="str">
        <f t="shared" si="13"/>
        <v>dwRssiEntryF_04</v>
      </c>
      <c r="B43" s="56">
        <v>4</v>
      </c>
      <c r="C43" s="54">
        <v>2.5</v>
      </c>
      <c r="D43" s="73">
        <f t="shared" si="14"/>
        <v>21.173417116317186</v>
      </c>
      <c r="E43" s="59" t="str">
        <f t="shared" si="12"/>
        <v>00BC</v>
      </c>
      <c r="F43" s="54">
        <v>0</v>
      </c>
      <c r="G43" s="74" t="str">
        <f t="shared" si="15"/>
        <v xml:space="preserve">BC 00 00 </v>
      </c>
      <c r="V43" s="70">
        <f t="shared" si="8"/>
        <v>7</v>
      </c>
      <c r="W43" s="71">
        <f t="shared" si="9"/>
        <v>10.628019403726253</v>
      </c>
      <c r="Z43" s="70">
        <f t="shared" si="10"/>
        <v>20</v>
      </c>
      <c r="AA43" s="71">
        <f t="shared" si="11"/>
        <v>5.0687477156232923</v>
      </c>
    </row>
    <row r="44" spans="1:27" x14ac:dyDescent="0.25">
      <c r="A44" s="56" t="str">
        <f t="shared" si="13"/>
        <v>dwRssiEntryF_05</v>
      </c>
      <c r="B44" s="56">
        <v>5</v>
      </c>
      <c r="C44" s="54">
        <v>3</v>
      </c>
      <c r="D44" s="73">
        <f t="shared" si="14"/>
        <v>19.248561014833804</v>
      </c>
      <c r="E44" s="59" t="str">
        <f t="shared" si="12"/>
        <v>00E1</v>
      </c>
      <c r="F44" s="54">
        <v>0</v>
      </c>
      <c r="G44" s="74" t="str">
        <f t="shared" si="15"/>
        <v xml:space="preserve">E1 00 00 </v>
      </c>
      <c r="V44" s="70">
        <f t="shared" si="8"/>
        <v>7</v>
      </c>
      <c r="W44" s="71">
        <f t="shared" si="9"/>
        <v>10.628019403726253</v>
      </c>
      <c r="Z44" s="70">
        <f t="shared" si="10"/>
        <v>20</v>
      </c>
      <c r="AA44" s="71">
        <f t="shared" si="11"/>
        <v>5.0687477156232923</v>
      </c>
    </row>
    <row r="45" spans="1:27" x14ac:dyDescent="0.25">
      <c r="A45" s="56" t="str">
        <f t="shared" si="13"/>
        <v>dwRssiEntryF_06</v>
      </c>
      <c r="B45" s="56">
        <v>6</v>
      </c>
      <c r="C45" s="54">
        <v>3</v>
      </c>
      <c r="D45" s="73">
        <f t="shared" si="14"/>
        <v>17.498691831667092</v>
      </c>
      <c r="E45" s="59" t="str">
        <f t="shared" si="12"/>
        <v>00E1</v>
      </c>
      <c r="F45" s="54">
        <v>0</v>
      </c>
      <c r="G45" s="74" t="str">
        <f t="shared" si="15"/>
        <v xml:space="preserve">E1 00 00 </v>
      </c>
      <c r="V45" s="70">
        <f t="shared" si="8"/>
        <v>7</v>
      </c>
      <c r="W45" s="71">
        <f t="shared" si="9"/>
        <v>9.6618358215693192</v>
      </c>
      <c r="Z45" s="70">
        <f t="shared" si="10"/>
        <v>20</v>
      </c>
      <c r="AA45" s="71">
        <f t="shared" si="11"/>
        <v>4.6079524687484472</v>
      </c>
    </row>
    <row r="46" spans="1:27" x14ac:dyDescent="0.25">
      <c r="A46" s="56" t="str">
        <f t="shared" si="13"/>
        <v>dwRssiEntryF_07</v>
      </c>
      <c r="B46" s="56">
        <v>7</v>
      </c>
      <c r="C46" s="54">
        <v>4</v>
      </c>
      <c r="D46" s="73">
        <f t="shared" si="14"/>
        <v>15.907901665151901</v>
      </c>
      <c r="E46" s="59" t="str">
        <f t="shared" si="12"/>
        <v>012C</v>
      </c>
      <c r="F46" s="54">
        <v>0</v>
      </c>
      <c r="G46" s="74" t="str">
        <f t="shared" si="15"/>
        <v xml:space="preserve">2C 01 00 </v>
      </c>
      <c r="V46" s="70">
        <f t="shared" si="8"/>
        <v>8</v>
      </c>
      <c r="W46" s="71">
        <f t="shared" si="9"/>
        <v>9.6618358215693192</v>
      </c>
      <c r="Z46" s="70">
        <f t="shared" si="10"/>
        <v>20</v>
      </c>
      <c r="AA46" s="71">
        <f t="shared" si="11"/>
        <v>4.6079524687484472</v>
      </c>
    </row>
    <row r="47" spans="1:27" x14ac:dyDescent="0.25">
      <c r="A47" s="56" t="str">
        <f t="shared" si="13"/>
        <v>dwRssiEntryF_08</v>
      </c>
      <c r="B47" s="56">
        <v>8</v>
      </c>
      <c r="C47" s="54">
        <v>4</v>
      </c>
      <c r="D47" s="73">
        <f t="shared" si="14"/>
        <v>14.461728786501727</v>
      </c>
      <c r="E47" s="59" t="str">
        <f t="shared" si="12"/>
        <v>012C</v>
      </c>
      <c r="F47" s="54">
        <v>0</v>
      </c>
      <c r="G47" s="74" t="str">
        <f t="shared" si="15"/>
        <v xml:space="preserve">2C 01 00 </v>
      </c>
      <c r="V47" s="70">
        <f t="shared" si="8"/>
        <v>8</v>
      </c>
      <c r="W47" s="71">
        <f t="shared" si="9"/>
        <v>8.7834871105175623</v>
      </c>
      <c r="Z47" s="70">
        <f t="shared" si="10"/>
        <v>20</v>
      </c>
      <c r="AA47" s="71">
        <f t="shared" si="11"/>
        <v>4.1890476988622245</v>
      </c>
    </row>
    <row r="48" spans="1:27" x14ac:dyDescent="0.25">
      <c r="A48" s="56" t="str">
        <f t="shared" si="13"/>
        <v>dwRssiEntryF_09</v>
      </c>
      <c r="B48" s="56">
        <v>9</v>
      </c>
      <c r="C48" s="54">
        <v>4</v>
      </c>
      <c r="D48" s="73">
        <f t="shared" si="14"/>
        <v>13.147026169547024</v>
      </c>
      <c r="E48" s="59" t="str">
        <f t="shared" si="12"/>
        <v>012C</v>
      </c>
      <c r="F48" s="54">
        <v>0</v>
      </c>
      <c r="G48" s="74" t="str">
        <f t="shared" si="15"/>
        <v xml:space="preserve">2C 01 00 </v>
      </c>
      <c r="V48" s="70">
        <f t="shared" si="8"/>
        <v>8</v>
      </c>
      <c r="W48" s="71">
        <f t="shared" si="9"/>
        <v>8.7834871105175623</v>
      </c>
      <c r="Z48" s="70">
        <f t="shared" si="10"/>
        <v>20</v>
      </c>
      <c r="AA48" s="71">
        <f t="shared" si="11"/>
        <v>4.1890476988622245</v>
      </c>
    </row>
    <row r="49" spans="1:27" x14ac:dyDescent="0.25">
      <c r="A49" s="56" t="str">
        <f t="shared" si="13"/>
        <v>dwRssiEntryF_0A</v>
      </c>
      <c r="B49" s="56">
        <v>10</v>
      </c>
      <c r="C49" s="54">
        <v>4</v>
      </c>
      <c r="D49" s="73">
        <f t="shared" si="14"/>
        <v>11.951841972315476</v>
      </c>
      <c r="E49" s="59" t="str">
        <f t="shared" si="12"/>
        <v>012C</v>
      </c>
      <c r="F49" s="54">
        <v>0</v>
      </c>
      <c r="G49" s="74" t="str">
        <f t="shared" si="15"/>
        <v xml:space="preserve">2C 01 00 </v>
      </c>
      <c r="V49" s="70">
        <f t="shared" si="8"/>
        <v>8</v>
      </c>
      <c r="W49" s="71">
        <f t="shared" si="9"/>
        <v>7.9849882822886924</v>
      </c>
      <c r="Z49" s="70">
        <f t="shared" si="10"/>
        <v>20</v>
      </c>
      <c r="AA49" s="71">
        <f t="shared" si="11"/>
        <v>3.8082251807838401</v>
      </c>
    </row>
    <row r="50" spans="1:27" x14ac:dyDescent="0.25">
      <c r="A50" s="56" t="str">
        <f t="shared" si="13"/>
        <v>dwRssiEntryF_0B</v>
      </c>
      <c r="B50" s="56">
        <v>11</v>
      </c>
      <c r="C50" s="54">
        <v>4</v>
      </c>
      <c r="D50" s="73">
        <f t="shared" si="14"/>
        <v>10.86531088392316</v>
      </c>
      <c r="E50" s="59" t="str">
        <f t="shared" si="12"/>
        <v>012C</v>
      </c>
      <c r="F50" s="54">
        <v>0</v>
      </c>
      <c r="G50" s="74" t="str">
        <f t="shared" si="15"/>
        <v xml:space="preserve">2C 01 00 </v>
      </c>
      <c r="V50" s="70">
        <f t="shared" si="8"/>
        <v>10</v>
      </c>
      <c r="W50" s="71">
        <f t="shared" si="9"/>
        <v>7.9849882822886924</v>
      </c>
      <c r="Z50" s="70">
        <f t="shared" si="10"/>
        <v>20</v>
      </c>
      <c r="AA50" s="71">
        <f t="shared" si="11"/>
        <v>3.8082251807838401</v>
      </c>
    </row>
    <row r="51" spans="1:27" x14ac:dyDescent="0.25">
      <c r="A51" s="56" t="str">
        <f t="shared" si="13"/>
        <v>dwRssiEntryF_0C</v>
      </c>
      <c r="B51" s="56">
        <v>12</v>
      </c>
      <c r="C51" s="54">
        <v>20</v>
      </c>
      <c r="D51" s="73">
        <f t="shared" si="14"/>
        <v>9.877555349021053</v>
      </c>
      <c r="E51" s="59" t="str">
        <f t="shared" si="12"/>
        <v>05DC</v>
      </c>
      <c r="F51" s="54">
        <v>0</v>
      </c>
      <c r="G51" s="74" t="str">
        <f t="shared" si="15"/>
        <v xml:space="preserve">DC 05 00 </v>
      </c>
      <c r="V51" s="70">
        <f t="shared" si="8"/>
        <v>10</v>
      </c>
      <c r="W51" s="71">
        <f t="shared" si="9"/>
        <v>7.259080256626083</v>
      </c>
      <c r="Z51" s="70">
        <f t="shared" si="10"/>
        <v>20</v>
      </c>
      <c r="AA51" s="71">
        <f t="shared" si="11"/>
        <v>3.4620228916216726</v>
      </c>
    </row>
    <row r="52" spans="1:27" x14ac:dyDescent="0.25">
      <c r="A52" s="56" t="str">
        <f t="shared" si="13"/>
        <v>dwRssiEntryF_0D</v>
      </c>
      <c r="B52" s="56">
        <v>13</v>
      </c>
      <c r="C52" s="54">
        <v>20</v>
      </c>
      <c r="D52" s="73">
        <f t="shared" si="14"/>
        <v>8.9795957718373209</v>
      </c>
      <c r="E52" s="59" t="str">
        <f t="shared" si="12"/>
        <v>05DC</v>
      </c>
      <c r="F52" s="54">
        <v>0</v>
      </c>
      <c r="G52" s="74" t="str">
        <f t="shared" si="15"/>
        <v xml:space="preserve">DC 05 00 </v>
      </c>
      <c r="V52" s="70">
        <f t="shared" si="8"/>
        <v>10</v>
      </c>
      <c r="W52" s="71">
        <f t="shared" si="9"/>
        <v>7.259080256626083</v>
      </c>
      <c r="Z52" s="70">
        <f t="shared" si="10"/>
        <v>20</v>
      </c>
      <c r="AA52" s="71">
        <f t="shared" si="11"/>
        <v>3.4620228916216726</v>
      </c>
    </row>
    <row r="53" spans="1:27" x14ac:dyDescent="0.25">
      <c r="A53" s="56" t="str">
        <f t="shared" si="13"/>
        <v>dwRssiEntryF_0E</v>
      </c>
      <c r="B53" s="56">
        <v>14</v>
      </c>
      <c r="C53" s="54">
        <v>20</v>
      </c>
      <c r="D53" s="73">
        <f t="shared" si="14"/>
        <v>8.1632688834884721</v>
      </c>
      <c r="E53" s="59" t="str">
        <f t="shared" si="12"/>
        <v>05DC</v>
      </c>
      <c r="F53" s="54">
        <v>0</v>
      </c>
      <c r="G53" s="74" t="str">
        <f t="shared" si="15"/>
        <v xml:space="preserve">DC 05 00 </v>
      </c>
      <c r="V53" s="70">
        <f t="shared" si="8"/>
        <v>10</v>
      </c>
      <c r="W53" s="71">
        <f t="shared" si="9"/>
        <v>6.5991638696600745</v>
      </c>
      <c r="Z53" s="70">
        <f t="shared" si="10"/>
        <v>20</v>
      </c>
      <c r="AA53" s="71">
        <f t="shared" si="11"/>
        <v>3.1472935378378839</v>
      </c>
    </row>
    <row r="54" spans="1:27" ht="15.75" thickBot="1" x14ac:dyDescent="0.3">
      <c r="A54" s="56" t="str">
        <f t="shared" si="13"/>
        <v>dwRssiEntryF_0F</v>
      </c>
      <c r="B54" s="56">
        <v>15</v>
      </c>
      <c r="C54" s="54">
        <v>20</v>
      </c>
      <c r="D54" s="73">
        <f t="shared" si="14"/>
        <v>7.421153530444065</v>
      </c>
      <c r="E54" s="59" t="str">
        <f t="shared" si="12"/>
        <v>05DC</v>
      </c>
      <c r="F54" s="54">
        <v>0</v>
      </c>
      <c r="G54" s="74" t="str">
        <f t="shared" si="15"/>
        <v xml:space="preserve">DC 05 00 </v>
      </c>
      <c r="V54" s="77">
        <v>50</v>
      </c>
      <c r="W54" s="78">
        <f>W53</f>
        <v>6.5991638696600745</v>
      </c>
      <c r="Z54" s="77">
        <v>50</v>
      </c>
      <c r="AA54" s="78">
        <f>AA53</f>
        <v>3.1472935378378839</v>
      </c>
    </row>
    <row r="55" spans="1:27" x14ac:dyDescent="0.25">
      <c r="A55" s="56" t="str">
        <f t="shared" si="13"/>
        <v>dwRssiEntryF_10</v>
      </c>
      <c r="B55" s="56">
        <v>16</v>
      </c>
      <c r="C55" s="54">
        <v>20</v>
      </c>
      <c r="D55" s="73">
        <f t="shared" si="14"/>
        <v>6.7465032094946036</v>
      </c>
      <c r="E55" s="59" t="str">
        <f t="shared" si="12"/>
        <v>05DC</v>
      </c>
      <c r="F55" s="54">
        <v>0</v>
      </c>
      <c r="G55" s="74" t="str">
        <f t="shared" si="15"/>
        <v xml:space="preserve">DC 05 00 </v>
      </c>
    </row>
    <row r="56" spans="1:27" x14ac:dyDescent="0.25">
      <c r="A56" s="56" t="str">
        <f t="shared" si="13"/>
        <v>dwRssiEntryF_11</v>
      </c>
      <c r="B56" s="56">
        <v>17</v>
      </c>
      <c r="C56" s="54">
        <v>20</v>
      </c>
      <c r="D56" s="73">
        <f t="shared" si="14"/>
        <v>6.1331847359041847</v>
      </c>
      <c r="E56" s="59" t="str">
        <f t="shared" si="12"/>
        <v>05DC</v>
      </c>
      <c r="F56" s="54">
        <v>0</v>
      </c>
      <c r="G56" s="74" t="str">
        <f t="shared" si="15"/>
        <v xml:space="preserve">DC 05 00 </v>
      </c>
    </row>
    <row r="57" spans="1:27" x14ac:dyDescent="0.25">
      <c r="A57" s="56" t="str">
        <f t="shared" si="13"/>
        <v>dwRssiEntryF_12</v>
      </c>
      <c r="B57" s="56">
        <v>18</v>
      </c>
      <c r="C57" s="54">
        <v>20</v>
      </c>
      <c r="D57" s="73">
        <f t="shared" si="14"/>
        <v>5.5756224871856217</v>
      </c>
      <c r="E57" s="59" t="str">
        <f t="shared" si="12"/>
        <v>05DC</v>
      </c>
      <c r="F57" s="54">
        <v>0</v>
      </c>
      <c r="G57" s="74" t="str">
        <f t="shared" si="15"/>
        <v xml:space="preserve">DC 05 00 </v>
      </c>
    </row>
    <row r="58" spans="1:27" x14ac:dyDescent="0.25">
      <c r="A58" s="56" t="str">
        <f t="shared" si="13"/>
        <v>dwRssiEntryF_13</v>
      </c>
      <c r="B58" s="56">
        <v>19</v>
      </c>
      <c r="C58" s="54">
        <v>20</v>
      </c>
      <c r="D58" s="73">
        <f t="shared" si="14"/>
        <v>5.0687477156232923</v>
      </c>
      <c r="E58" s="59" t="str">
        <f t="shared" si="12"/>
        <v>05DC</v>
      </c>
      <c r="F58" s="54">
        <v>0</v>
      </c>
      <c r="G58" s="74" t="str">
        <f t="shared" si="15"/>
        <v xml:space="preserve">DC 05 00 </v>
      </c>
    </row>
    <row r="59" spans="1:27" x14ac:dyDescent="0.25">
      <c r="A59" s="56" t="str">
        <f t="shared" si="13"/>
        <v>dwRssiEntryF_14</v>
      </c>
      <c r="B59" s="56">
        <v>20</v>
      </c>
      <c r="C59" s="54">
        <v>20</v>
      </c>
      <c r="D59" s="73">
        <f t="shared" si="14"/>
        <v>4.6079524687484472</v>
      </c>
      <c r="E59" s="59" t="str">
        <f t="shared" si="12"/>
        <v>05DC</v>
      </c>
      <c r="F59" s="54">
        <v>0</v>
      </c>
      <c r="G59" s="74" t="str">
        <f t="shared" si="15"/>
        <v xml:space="preserve">DC 05 00 </v>
      </c>
    </row>
    <row r="60" spans="1:27" x14ac:dyDescent="0.25">
      <c r="A60" s="56" t="str">
        <f t="shared" si="13"/>
        <v>dwRssiEntryF_15</v>
      </c>
      <c r="B60" s="56">
        <v>21</v>
      </c>
      <c r="C60" s="54">
        <v>20</v>
      </c>
      <c r="D60" s="73">
        <f t="shared" si="14"/>
        <v>4.1890476988622245</v>
      </c>
      <c r="E60" s="59" t="str">
        <f t="shared" si="12"/>
        <v>05DC</v>
      </c>
      <c r="F60" s="54">
        <v>0</v>
      </c>
      <c r="G60" s="74" t="str">
        <f t="shared" si="15"/>
        <v xml:space="preserve">DC 05 00 </v>
      </c>
    </row>
    <row r="61" spans="1:27" x14ac:dyDescent="0.25">
      <c r="A61" s="56" t="str">
        <f t="shared" si="13"/>
        <v>dwRssiEntryF_16</v>
      </c>
      <c r="B61" s="56">
        <v>22</v>
      </c>
      <c r="C61" s="54">
        <v>20</v>
      </c>
      <c r="D61" s="73">
        <f t="shared" si="14"/>
        <v>3.8082251807838401</v>
      </c>
      <c r="E61" s="59" t="str">
        <f t="shared" si="12"/>
        <v>05DC</v>
      </c>
      <c r="F61" s="54">
        <v>0</v>
      </c>
      <c r="G61" s="74" t="str">
        <f t="shared" si="15"/>
        <v xml:space="preserve">DC 05 00 </v>
      </c>
    </row>
    <row r="62" spans="1:27" x14ac:dyDescent="0.25">
      <c r="A62" s="56" t="str">
        <f t="shared" si="13"/>
        <v>dwRssiEntryF_17</v>
      </c>
      <c r="B62" s="56">
        <v>23</v>
      </c>
      <c r="C62" s="54">
        <v>20</v>
      </c>
      <c r="D62" s="73">
        <f t="shared" si="14"/>
        <v>3.4620228916216726</v>
      </c>
      <c r="E62" s="59" t="str">
        <f t="shared" si="12"/>
        <v>05DC</v>
      </c>
      <c r="F62" s="54">
        <v>0</v>
      </c>
      <c r="G62" s="74" t="str">
        <f t="shared" si="15"/>
        <v xml:space="preserve">DC 05 00 </v>
      </c>
    </row>
    <row r="63" spans="1:27" x14ac:dyDescent="0.25">
      <c r="A63" s="56" t="str">
        <f t="shared" si="13"/>
        <v>dwRssiEntryF_18</v>
      </c>
      <c r="B63" s="56">
        <v>24</v>
      </c>
      <c r="C63" s="54">
        <v>20</v>
      </c>
      <c r="D63" s="73">
        <f>D62/1.1</f>
        <v>3.1472935378378839</v>
      </c>
      <c r="E63" s="59" t="str">
        <f t="shared" si="12"/>
        <v>05DC</v>
      </c>
      <c r="F63" s="54">
        <v>0</v>
      </c>
      <c r="G63" s="74" t="str">
        <f t="shared" si="15"/>
        <v xml:space="preserve">DC 05 00 </v>
      </c>
    </row>
    <row r="66" spans="7:7" hidden="1" x14ac:dyDescent="0.25">
      <c r="G66" s="76" t="str">
        <f>CONCATENATE(G6,G7,G8,G9,G10,G11,G12,G13,G14,G15,G16,G17,G18,G19,G20,G21,G22,G23,G24,G25,G26,G27,G28,G29,G30)</f>
        <v xml:space="preserve">35 00 00 4B 00 00 71 00 00 71 00 00 96 00 00 BC 00 00 BC 00 00 E1 00 00 07 01 00 07 01 00 2C 01 00 2C 01 00 52 01 00 52 01 00 77 01 00 77 01 00 C2 01 00 C2 01 00 0D 02 00 0D 02 00 58 02 00 58 02 00 EE 02 00 EE 02 00 </v>
      </c>
    </row>
    <row r="67" spans="7:7" hidden="1" x14ac:dyDescent="0.25">
      <c r="G67" s="76" t="str">
        <f>CONCATENATE(G39,G40,G41,G42,G43,G44,G45,G46,G47,G48,G49,G50,G51,G52,G53,G54,G55,G56,G57,G58,G59,G60,G61,G62,G63)</f>
        <v xml:space="preserve">BC 00 00 BC 00 00 BC 00 00 BC 00 00 E1 00 00 E1 00 00 2C 01 00 2C 01 00 2C 01 00 2C 01 00 2C 01 00 DC 05 00 DC 05 00 DC 05 00 DC 05 00 DC 05 00 DC 05 00 DC 05 00 DC 05 00 DC 05 00 DC 05 00 DC 05 00 DC 05 00 DC 05 00 </v>
      </c>
    </row>
  </sheetData>
  <sheetProtection password="D697" sheet="1" objects="1" scenarios="1"/>
  <protectedRanges>
    <protectedRange sqref="D39 C6:C30 F7:F30 F40:F63 C39:C63" name="Range2"/>
    <protectedRange sqref="D6" name="Range1"/>
  </protectedRanges>
  <dataConsolidate/>
  <mergeCells count="5">
    <mergeCell ref="C36:F36"/>
    <mergeCell ref="B4:B5"/>
    <mergeCell ref="C1:F1"/>
    <mergeCell ref="C34:F34"/>
    <mergeCell ref="C3:F3"/>
  </mergeCells>
  <dataValidations disablePrompts="1" count="1">
    <dataValidation type="whole" allowBlank="1" showInputMessage="1" showErrorMessage="1" sqref="F7:F30 F40:F63" xr:uid="{00000000-0002-0000-0300-000000000000}">
      <formula1>-127</formula1>
      <formula2>127</formula2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tabColor rgb="FF0070C0"/>
  </sheetPr>
  <dimension ref="A1:M42"/>
  <sheetViews>
    <sheetView showGridLines="0" zoomScale="80" zoomScaleNormal="80" workbookViewId="0">
      <selection activeCell="J9" sqref="J9"/>
    </sheetView>
  </sheetViews>
  <sheetFormatPr defaultRowHeight="15" x14ac:dyDescent="0.25"/>
  <cols>
    <col min="1" max="1" width="20.7109375" bestFit="1" customWidth="1"/>
    <col min="2" max="2" width="7.42578125" bestFit="1" customWidth="1"/>
    <col min="5" max="5" width="12.28515625" bestFit="1" customWidth="1"/>
    <col min="6" max="6" width="8.140625" customWidth="1"/>
    <col min="7" max="7" width="9" bestFit="1" customWidth="1"/>
    <col min="8" max="8" width="9.140625" bestFit="1" customWidth="1"/>
    <col min="9" max="9" width="10.28515625" customWidth="1"/>
    <col min="10" max="10" width="33.5703125" bestFit="1" customWidth="1"/>
    <col min="11" max="11" width="11.140625" bestFit="1" customWidth="1"/>
    <col min="12" max="12" width="6.7109375" bestFit="1" customWidth="1"/>
    <col min="13" max="13" width="8.5703125" bestFit="1" customWidth="1"/>
  </cols>
  <sheetData>
    <row r="1" spans="1:13" ht="36" customHeight="1" x14ac:dyDescent="0.25"/>
    <row r="2" spans="1:13" ht="45" x14ac:dyDescent="0.25">
      <c r="B2" s="53" t="s">
        <v>39</v>
      </c>
      <c r="C2" s="53" t="s">
        <v>29</v>
      </c>
      <c r="D2" s="31" t="s">
        <v>133</v>
      </c>
      <c r="E2" s="30" t="s">
        <v>134</v>
      </c>
      <c r="F2" s="32" t="s">
        <v>19</v>
      </c>
      <c r="G2" s="33" t="s">
        <v>20</v>
      </c>
      <c r="H2" s="34" t="s">
        <v>36</v>
      </c>
      <c r="I2" s="35" t="s">
        <v>27</v>
      </c>
      <c r="J2" s="36" t="s">
        <v>23</v>
      </c>
      <c r="K2" s="30" t="s">
        <v>22</v>
      </c>
      <c r="L2" s="30" t="s">
        <v>40</v>
      </c>
      <c r="M2" s="30" t="s">
        <v>46</v>
      </c>
    </row>
    <row r="3" spans="1:13" x14ac:dyDescent="0.25">
      <c r="A3" t="s">
        <v>81</v>
      </c>
      <c r="B3">
        <v>0</v>
      </c>
      <c r="C3">
        <v>0</v>
      </c>
      <c r="D3" s="16">
        <v>20.399999999999999</v>
      </c>
      <c r="E3" s="8">
        <v>5.0999999999999996</v>
      </c>
      <c r="F3" s="4">
        <v>5.25</v>
      </c>
      <c r="G3" s="5">
        <v>-150</v>
      </c>
      <c r="H3" s="6">
        <v>2</v>
      </c>
      <c r="I3" s="15">
        <v>1</v>
      </c>
      <c r="J3" s="7" t="s">
        <v>0</v>
      </c>
      <c r="K3" s="14" t="s">
        <v>47</v>
      </c>
      <c r="L3" s="12">
        <v>100</v>
      </c>
      <c r="M3" s="18">
        <v>-1.1736036390001345</v>
      </c>
    </row>
    <row r="4" spans="1:13" x14ac:dyDescent="0.25">
      <c r="A4" t="s">
        <v>82</v>
      </c>
      <c r="B4">
        <v>1</v>
      </c>
      <c r="C4">
        <v>1</v>
      </c>
      <c r="D4" s="16">
        <v>19.600000000000001</v>
      </c>
      <c r="E4" s="8">
        <v>4.9000000000000004</v>
      </c>
      <c r="F4" s="4">
        <v>5.25</v>
      </c>
      <c r="G4" s="5">
        <v>-250</v>
      </c>
      <c r="H4" s="6">
        <v>2</v>
      </c>
      <c r="I4" s="15">
        <v>1</v>
      </c>
      <c r="J4" s="7" t="s">
        <v>1</v>
      </c>
      <c r="K4" s="14" t="s">
        <v>48</v>
      </c>
      <c r="L4" s="12">
        <v>98</v>
      </c>
      <c r="M4" s="18">
        <v>0.30099401900031353</v>
      </c>
    </row>
    <row r="5" spans="1:13" x14ac:dyDescent="0.25">
      <c r="A5" t="s">
        <v>83</v>
      </c>
      <c r="B5">
        <v>2</v>
      </c>
      <c r="C5">
        <v>2</v>
      </c>
      <c r="D5" s="16">
        <v>17.86</v>
      </c>
      <c r="E5" s="8">
        <v>4.4649999999999999</v>
      </c>
      <c r="F5" s="4">
        <v>5.25</v>
      </c>
      <c r="G5" s="5">
        <v>-500</v>
      </c>
      <c r="H5" s="6">
        <v>2</v>
      </c>
      <c r="I5" s="15">
        <v>1</v>
      </c>
      <c r="J5" s="7" t="s">
        <v>3</v>
      </c>
      <c r="K5" s="14" t="s">
        <v>49</v>
      </c>
      <c r="L5" s="12">
        <v>94</v>
      </c>
      <c r="M5" s="18">
        <v>1.4367651616389594</v>
      </c>
    </row>
    <row r="6" spans="1:13" x14ac:dyDescent="0.25">
      <c r="A6" t="s">
        <v>84</v>
      </c>
      <c r="B6">
        <v>3</v>
      </c>
      <c r="C6">
        <v>3</v>
      </c>
      <c r="D6" s="16">
        <v>16.32</v>
      </c>
      <c r="E6" s="8">
        <v>4.08</v>
      </c>
      <c r="F6" s="4">
        <v>4.5</v>
      </c>
      <c r="G6" s="5">
        <v>-250</v>
      </c>
      <c r="H6" s="6">
        <v>2</v>
      </c>
      <c r="I6" s="15">
        <v>1</v>
      </c>
      <c r="J6" s="7" t="s">
        <v>2</v>
      </c>
      <c r="K6" s="14" t="s">
        <v>50</v>
      </c>
      <c r="L6" s="12">
        <v>96</v>
      </c>
      <c r="M6" s="18">
        <v>-0.15303421951995233</v>
      </c>
    </row>
    <row r="7" spans="1:13" x14ac:dyDescent="0.25">
      <c r="A7" t="s">
        <v>85</v>
      </c>
      <c r="B7">
        <v>4</v>
      </c>
      <c r="C7">
        <v>4</v>
      </c>
      <c r="D7" s="16">
        <v>14.79</v>
      </c>
      <c r="E7" s="8">
        <v>3.6974999999999998</v>
      </c>
      <c r="F7" s="4">
        <v>4.5</v>
      </c>
      <c r="G7" s="5">
        <v>-250</v>
      </c>
      <c r="H7" s="6">
        <v>2</v>
      </c>
      <c r="I7" s="15">
        <v>1</v>
      </c>
      <c r="J7" s="7" t="s">
        <v>6</v>
      </c>
      <c r="K7" s="14" t="s">
        <v>51</v>
      </c>
      <c r="L7" s="12">
        <v>87</v>
      </c>
      <c r="M7" s="18">
        <v>0.42546916689400405</v>
      </c>
    </row>
    <row r="8" spans="1:13" x14ac:dyDescent="0.25">
      <c r="A8" t="s">
        <v>86</v>
      </c>
      <c r="B8">
        <v>5</v>
      </c>
      <c r="C8">
        <v>5</v>
      </c>
      <c r="D8" s="16">
        <v>13.524000000000001</v>
      </c>
      <c r="E8" s="8">
        <v>3.3810000000000002</v>
      </c>
      <c r="F8" s="4">
        <v>3.6</v>
      </c>
      <c r="G8" s="5">
        <v>-150</v>
      </c>
      <c r="H8" s="6">
        <v>2</v>
      </c>
      <c r="I8" s="15">
        <v>1</v>
      </c>
      <c r="J8" s="7" t="s">
        <v>1</v>
      </c>
      <c r="K8" s="14" t="s">
        <v>48</v>
      </c>
      <c r="L8" s="12">
        <v>98</v>
      </c>
      <c r="M8" s="18">
        <v>-3.5973781626449295</v>
      </c>
    </row>
    <row r="9" spans="1:13" x14ac:dyDescent="0.25">
      <c r="A9" t="s">
        <v>87</v>
      </c>
      <c r="B9">
        <v>6</v>
      </c>
      <c r="C9">
        <v>6</v>
      </c>
      <c r="D9" s="16">
        <v>12.282</v>
      </c>
      <c r="E9" s="8">
        <v>3.0705</v>
      </c>
      <c r="F9" s="4">
        <v>3.6</v>
      </c>
      <c r="G9" s="5">
        <v>-150</v>
      </c>
      <c r="H9" s="6">
        <v>2</v>
      </c>
      <c r="I9" s="15">
        <v>1</v>
      </c>
      <c r="J9" s="7" t="s">
        <v>5</v>
      </c>
      <c r="K9" s="14" t="s">
        <v>52</v>
      </c>
      <c r="L9" s="12">
        <v>89</v>
      </c>
      <c r="M9" s="18">
        <v>-2.7122203675122591</v>
      </c>
    </row>
    <row r="10" spans="1:13" x14ac:dyDescent="0.25">
      <c r="A10" t="s">
        <v>88</v>
      </c>
      <c r="B10">
        <v>7</v>
      </c>
      <c r="C10">
        <v>7</v>
      </c>
      <c r="D10" s="16">
        <v>11.122</v>
      </c>
      <c r="E10" s="8">
        <v>2.7805</v>
      </c>
      <c r="F10" s="4">
        <v>3.6</v>
      </c>
      <c r="G10" s="5">
        <v>-250</v>
      </c>
      <c r="H10" s="6">
        <v>2</v>
      </c>
      <c r="I10" s="15">
        <v>1</v>
      </c>
      <c r="J10" s="7" t="s">
        <v>8</v>
      </c>
      <c r="K10" s="14" t="s">
        <v>53</v>
      </c>
      <c r="L10" s="12">
        <v>83</v>
      </c>
      <c r="M10" s="18">
        <v>-2.8236348921590206</v>
      </c>
    </row>
    <row r="11" spans="1:13" x14ac:dyDescent="0.25">
      <c r="A11" t="s">
        <v>89</v>
      </c>
      <c r="B11">
        <v>8</v>
      </c>
      <c r="C11">
        <v>7</v>
      </c>
      <c r="D11" s="16">
        <v>11.172000000000001</v>
      </c>
      <c r="E11" s="8">
        <v>2.7930000000000001</v>
      </c>
      <c r="F11" s="4">
        <v>3</v>
      </c>
      <c r="G11" s="5">
        <v>-150</v>
      </c>
      <c r="H11" s="6">
        <v>2</v>
      </c>
      <c r="I11" s="15">
        <v>1</v>
      </c>
      <c r="J11" s="7" t="s">
        <v>1</v>
      </c>
      <c r="K11" s="14" t="s">
        <v>48</v>
      </c>
      <c r="L11" s="12">
        <v>98</v>
      </c>
      <c r="M11" s="18">
        <v>1.5267540815450502</v>
      </c>
    </row>
    <row r="12" spans="1:13" x14ac:dyDescent="0.25">
      <c r="A12" t="s">
        <v>90</v>
      </c>
      <c r="B12">
        <v>9</v>
      </c>
      <c r="C12">
        <v>8</v>
      </c>
      <c r="D12" s="16">
        <v>10.167999999999999</v>
      </c>
      <c r="E12" s="8">
        <v>2.5419999999999998</v>
      </c>
      <c r="F12" s="4">
        <v>3.6</v>
      </c>
      <c r="G12" s="5">
        <v>-500</v>
      </c>
      <c r="H12" s="6">
        <v>2</v>
      </c>
      <c r="I12" s="15">
        <v>1</v>
      </c>
      <c r="J12" s="7" t="s">
        <v>9</v>
      </c>
      <c r="K12" s="14" t="s">
        <v>55</v>
      </c>
      <c r="L12" s="12">
        <v>82</v>
      </c>
      <c r="M12" s="18">
        <v>-3.2239062502391675</v>
      </c>
    </row>
    <row r="13" spans="1:13" x14ac:dyDescent="0.25">
      <c r="A13" t="s">
        <v>91</v>
      </c>
      <c r="B13">
        <v>10</v>
      </c>
      <c r="C13">
        <v>8</v>
      </c>
      <c r="D13" s="16">
        <v>10.146000000000001</v>
      </c>
      <c r="E13" s="8">
        <v>2.5365000000000002</v>
      </c>
      <c r="F13" s="4">
        <v>3</v>
      </c>
      <c r="G13" s="5">
        <v>-150</v>
      </c>
      <c r="H13" s="6">
        <v>2</v>
      </c>
      <c r="I13" s="15">
        <v>1</v>
      </c>
      <c r="J13" s="7" t="s">
        <v>5</v>
      </c>
      <c r="K13" s="14" t="s">
        <v>52</v>
      </c>
      <c r="L13" s="12">
        <v>89</v>
      </c>
      <c r="M13" s="18">
        <v>-3.9744119384818646</v>
      </c>
    </row>
    <row r="14" spans="1:13" x14ac:dyDescent="0.25">
      <c r="A14" t="s">
        <v>92</v>
      </c>
      <c r="B14">
        <v>11</v>
      </c>
      <c r="C14">
        <v>9</v>
      </c>
      <c r="D14" s="16">
        <v>9.3000000000000007</v>
      </c>
      <c r="E14" s="8">
        <v>2.3250000000000002</v>
      </c>
      <c r="F14" s="4">
        <v>3.6</v>
      </c>
      <c r="G14" s="5">
        <v>-500</v>
      </c>
      <c r="H14" s="6">
        <v>2</v>
      </c>
      <c r="I14" s="15">
        <v>1</v>
      </c>
      <c r="J14" s="7" t="s">
        <v>14</v>
      </c>
      <c r="K14" s="14" t="s">
        <v>56</v>
      </c>
      <c r="L14" s="12">
        <v>75</v>
      </c>
      <c r="M14" s="18">
        <v>-3.727908798046883</v>
      </c>
    </row>
    <row r="15" spans="1:13" x14ac:dyDescent="0.25">
      <c r="A15" t="s">
        <v>93</v>
      </c>
      <c r="B15">
        <v>12</v>
      </c>
      <c r="C15">
        <v>9</v>
      </c>
      <c r="D15" s="16">
        <v>9.1</v>
      </c>
      <c r="E15" s="8">
        <v>2.2749999999999999</v>
      </c>
      <c r="F15" s="4">
        <v>3</v>
      </c>
      <c r="G15" s="5">
        <v>-500</v>
      </c>
      <c r="H15" s="6">
        <v>2</v>
      </c>
      <c r="I15" s="15">
        <v>1</v>
      </c>
      <c r="J15" s="7" t="s">
        <v>4</v>
      </c>
      <c r="K15" s="14" t="s">
        <v>58</v>
      </c>
      <c r="L15" s="12">
        <v>91</v>
      </c>
      <c r="M15" s="18">
        <v>-6.1756182031249409</v>
      </c>
    </row>
    <row r="16" spans="1:13" x14ac:dyDescent="0.25">
      <c r="A16" t="s">
        <v>94</v>
      </c>
      <c r="B16">
        <v>13</v>
      </c>
      <c r="C16">
        <v>10</v>
      </c>
      <c r="D16" s="16">
        <v>8.4240000000000013</v>
      </c>
      <c r="E16" s="8">
        <v>2.1060000000000003</v>
      </c>
      <c r="F16" s="4">
        <v>3.6</v>
      </c>
      <c r="G16" s="5">
        <v>-1000</v>
      </c>
      <c r="H16" s="6">
        <v>2</v>
      </c>
      <c r="I16" s="15">
        <v>1</v>
      </c>
      <c r="J16" s="7" t="s">
        <v>10</v>
      </c>
      <c r="K16" s="14" t="s">
        <v>57</v>
      </c>
      <c r="L16" s="12">
        <v>81</v>
      </c>
      <c r="M16" s="18">
        <v>-4.4067022422231048</v>
      </c>
    </row>
    <row r="17" spans="1:13" x14ac:dyDescent="0.25">
      <c r="A17" t="s">
        <v>95</v>
      </c>
      <c r="B17">
        <v>14</v>
      </c>
      <c r="C17">
        <v>10</v>
      </c>
      <c r="D17" s="16">
        <v>8.4</v>
      </c>
      <c r="E17" s="8">
        <v>2.1</v>
      </c>
      <c r="F17" s="4">
        <v>3</v>
      </c>
      <c r="G17" s="5">
        <v>-500</v>
      </c>
      <c r="H17" s="6">
        <v>2</v>
      </c>
      <c r="I17" s="15">
        <v>1</v>
      </c>
      <c r="J17" s="7" t="s">
        <v>129</v>
      </c>
      <c r="K17" s="14" t="s">
        <v>131</v>
      </c>
      <c r="L17" s="12">
        <v>84</v>
      </c>
      <c r="M17" s="18">
        <v>-6.6370150000000194</v>
      </c>
    </row>
    <row r="18" spans="1:13" x14ac:dyDescent="0.25">
      <c r="A18" t="s">
        <v>96</v>
      </c>
      <c r="B18">
        <v>15</v>
      </c>
      <c r="C18">
        <v>11</v>
      </c>
      <c r="D18" s="16">
        <v>7.4879999999999995</v>
      </c>
      <c r="E18" s="8">
        <v>1.8719999999999999</v>
      </c>
      <c r="F18" s="4">
        <v>3.6</v>
      </c>
      <c r="G18" s="5">
        <v>-1000</v>
      </c>
      <c r="H18" s="6">
        <v>2</v>
      </c>
      <c r="I18" s="15">
        <v>1</v>
      </c>
      <c r="J18" s="7" t="s">
        <v>15</v>
      </c>
      <c r="K18" s="14" t="s">
        <v>54</v>
      </c>
      <c r="L18" s="12">
        <v>72</v>
      </c>
      <c r="M18" s="18">
        <v>-5.4888039018824202</v>
      </c>
    </row>
    <row r="19" spans="1:13" x14ac:dyDescent="0.25">
      <c r="A19" t="s">
        <v>97</v>
      </c>
      <c r="B19">
        <v>16</v>
      </c>
      <c r="C19">
        <v>11</v>
      </c>
      <c r="D19" s="16">
        <v>7.5</v>
      </c>
      <c r="E19" s="8">
        <v>1.875</v>
      </c>
      <c r="F19" s="4">
        <v>3</v>
      </c>
      <c r="G19" s="5">
        <v>-500</v>
      </c>
      <c r="H19" s="6">
        <v>2</v>
      </c>
      <c r="I19" s="15">
        <v>1</v>
      </c>
      <c r="J19" s="7" t="s">
        <v>14</v>
      </c>
      <c r="K19" s="14" t="s">
        <v>56</v>
      </c>
      <c r="L19" s="12">
        <v>75</v>
      </c>
      <c r="M19" s="18">
        <v>-7.0613769531249773</v>
      </c>
    </row>
    <row r="20" spans="1:13" x14ac:dyDescent="0.25">
      <c r="A20" t="s">
        <v>98</v>
      </c>
      <c r="B20">
        <v>17</v>
      </c>
      <c r="C20">
        <v>12</v>
      </c>
      <c r="D20" s="16">
        <v>6.9</v>
      </c>
      <c r="E20" s="8">
        <v>3.45</v>
      </c>
      <c r="F20" s="4">
        <v>3.6</v>
      </c>
      <c r="G20" s="5">
        <v>-150</v>
      </c>
      <c r="H20" s="6">
        <v>2</v>
      </c>
      <c r="I20" s="15">
        <v>0</v>
      </c>
      <c r="J20" s="7" t="s">
        <v>0</v>
      </c>
      <c r="K20" s="14" t="s">
        <v>47</v>
      </c>
      <c r="L20" s="12">
        <v>100</v>
      </c>
      <c r="M20" s="18">
        <v>-4.0284273937502348</v>
      </c>
    </row>
    <row r="21" spans="1:13" x14ac:dyDescent="0.25">
      <c r="A21" t="s">
        <v>99</v>
      </c>
      <c r="B21">
        <v>18</v>
      </c>
      <c r="C21">
        <v>12</v>
      </c>
      <c r="D21" s="16">
        <v>6.96</v>
      </c>
      <c r="E21" s="8">
        <v>1.74</v>
      </c>
      <c r="F21" s="4">
        <v>3</v>
      </c>
      <c r="G21" s="5">
        <v>-1000</v>
      </c>
      <c r="H21" s="6">
        <v>2</v>
      </c>
      <c r="I21" s="15">
        <v>1</v>
      </c>
      <c r="J21" s="7" t="s">
        <v>6</v>
      </c>
      <c r="K21" s="14" t="s">
        <v>51</v>
      </c>
      <c r="L21" s="12">
        <v>87</v>
      </c>
      <c r="M21" s="18">
        <v>-7.671635560000027</v>
      </c>
    </row>
    <row r="22" spans="1:13" x14ac:dyDescent="0.25">
      <c r="A22" t="s">
        <v>100</v>
      </c>
      <c r="B22">
        <v>19</v>
      </c>
      <c r="C22">
        <v>13</v>
      </c>
      <c r="D22" s="16">
        <v>6.2790000000000008</v>
      </c>
      <c r="E22" s="8">
        <v>3.1395000000000004</v>
      </c>
      <c r="F22" s="4">
        <v>3.6</v>
      </c>
      <c r="G22" s="5">
        <v>-150</v>
      </c>
      <c r="H22" s="6">
        <v>2</v>
      </c>
      <c r="I22" s="15">
        <v>0</v>
      </c>
      <c r="J22" s="7" t="s">
        <v>4</v>
      </c>
      <c r="K22" s="14" t="s">
        <v>58</v>
      </c>
      <c r="L22" s="12">
        <v>91</v>
      </c>
      <c r="M22" s="18">
        <v>-2.791043570794784</v>
      </c>
    </row>
    <row r="23" spans="1:13" x14ac:dyDescent="0.25">
      <c r="A23" t="s">
        <v>101</v>
      </c>
      <c r="B23">
        <v>20</v>
      </c>
      <c r="C23">
        <v>13</v>
      </c>
      <c r="D23" s="16">
        <v>6.32</v>
      </c>
      <c r="E23" s="8">
        <v>1.58</v>
      </c>
      <c r="F23" s="4">
        <v>3</v>
      </c>
      <c r="G23" s="5">
        <v>-1000</v>
      </c>
      <c r="H23" s="6">
        <v>2</v>
      </c>
      <c r="I23" s="15">
        <v>1</v>
      </c>
      <c r="J23" s="7" t="s">
        <v>11</v>
      </c>
      <c r="K23" s="14" t="s">
        <v>63</v>
      </c>
      <c r="L23" s="12">
        <v>79</v>
      </c>
      <c r="M23" s="18">
        <v>-9.1620902799999726</v>
      </c>
    </row>
    <row r="24" spans="1:13" x14ac:dyDescent="0.25">
      <c r="A24" t="s">
        <v>102</v>
      </c>
      <c r="B24">
        <v>21</v>
      </c>
      <c r="C24">
        <v>14</v>
      </c>
      <c r="D24" s="16">
        <v>5.6950000000000003</v>
      </c>
      <c r="E24" s="8">
        <v>2.8475000000000001</v>
      </c>
      <c r="F24" s="4">
        <v>3.6</v>
      </c>
      <c r="G24" s="5">
        <v>-250</v>
      </c>
      <c r="H24" s="6">
        <v>2</v>
      </c>
      <c r="I24" s="15">
        <v>0</v>
      </c>
      <c r="J24" s="7" t="s">
        <v>7</v>
      </c>
      <c r="K24" s="14" t="s">
        <v>59</v>
      </c>
      <c r="L24" s="12">
        <v>85</v>
      </c>
      <c r="M24" s="18">
        <v>-2.7502007186532751</v>
      </c>
    </row>
    <row r="25" spans="1:13" x14ac:dyDescent="0.25">
      <c r="A25" t="s">
        <v>103</v>
      </c>
      <c r="B25">
        <v>22</v>
      </c>
      <c r="C25">
        <v>14</v>
      </c>
      <c r="D25" s="16">
        <v>5.7</v>
      </c>
      <c r="E25" s="8">
        <v>2.85</v>
      </c>
      <c r="F25" s="4">
        <v>3</v>
      </c>
      <c r="G25" s="5">
        <v>-150</v>
      </c>
      <c r="H25" s="6">
        <v>2</v>
      </c>
      <c r="I25" s="15">
        <v>0</v>
      </c>
      <c r="J25" s="7" t="s">
        <v>0</v>
      </c>
      <c r="K25" s="14" t="s">
        <v>47</v>
      </c>
      <c r="L25" s="12">
        <v>100</v>
      </c>
      <c r="M25" s="18">
        <v>3.3752881249999405</v>
      </c>
    </row>
    <row r="26" spans="1:13" x14ac:dyDescent="0.25">
      <c r="A26" t="s">
        <v>104</v>
      </c>
      <c r="B26">
        <v>23</v>
      </c>
      <c r="C26">
        <v>15</v>
      </c>
      <c r="D26" s="16">
        <v>5.1590000000000007</v>
      </c>
      <c r="E26" s="8">
        <v>2.5795000000000003</v>
      </c>
      <c r="F26" s="4">
        <v>3.6</v>
      </c>
      <c r="G26" s="5">
        <v>-250</v>
      </c>
      <c r="H26" s="6">
        <v>2</v>
      </c>
      <c r="I26" s="15">
        <v>0</v>
      </c>
      <c r="J26" s="7" t="s">
        <v>12</v>
      </c>
      <c r="K26" s="14" t="s">
        <v>60</v>
      </c>
      <c r="L26" s="12">
        <v>77</v>
      </c>
      <c r="M26" s="18">
        <v>-3.1495343127531896</v>
      </c>
    </row>
    <row r="27" spans="1:13" x14ac:dyDescent="0.25">
      <c r="A27" t="s">
        <v>105</v>
      </c>
      <c r="B27">
        <v>24</v>
      </c>
      <c r="C27">
        <v>15</v>
      </c>
      <c r="D27" s="16">
        <v>5.1870000000000003</v>
      </c>
      <c r="E27" s="8">
        <v>2.5935000000000001</v>
      </c>
      <c r="F27" s="4">
        <v>3</v>
      </c>
      <c r="G27" s="5">
        <v>-150</v>
      </c>
      <c r="H27" s="6">
        <v>2</v>
      </c>
      <c r="I27" s="15">
        <v>0</v>
      </c>
      <c r="J27" s="7" t="s">
        <v>4</v>
      </c>
      <c r="K27" s="14" t="s">
        <v>58</v>
      </c>
      <c r="L27" s="12">
        <v>91</v>
      </c>
      <c r="M27" s="18">
        <v>-3.1002027451805247</v>
      </c>
    </row>
    <row r="28" spans="1:13" x14ac:dyDescent="0.25">
      <c r="A28" t="s">
        <v>106</v>
      </c>
      <c r="B28">
        <v>25</v>
      </c>
      <c r="C28">
        <v>16</v>
      </c>
      <c r="D28" s="16">
        <v>4.7120000000000006</v>
      </c>
      <c r="E28" s="8">
        <v>2.3560000000000003</v>
      </c>
      <c r="F28" s="4">
        <v>3.6</v>
      </c>
      <c r="G28" s="5">
        <v>-500</v>
      </c>
      <c r="H28" s="6">
        <v>2</v>
      </c>
      <c r="I28" s="15">
        <v>0</v>
      </c>
      <c r="J28" s="7" t="s">
        <v>13</v>
      </c>
      <c r="K28" s="14" t="s">
        <v>61</v>
      </c>
      <c r="L28" s="12">
        <v>76</v>
      </c>
      <c r="M28" s="18">
        <v>-3.6476447425211518</v>
      </c>
    </row>
    <row r="29" spans="1:13" ht="15.75" customHeight="1" x14ac:dyDescent="0.25">
      <c r="A29" t="s">
        <v>107</v>
      </c>
      <c r="B29">
        <v>26</v>
      </c>
      <c r="C29">
        <v>16</v>
      </c>
      <c r="D29" s="16">
        <v>4.7309999999999999</v>
      </c>
      <c r="E29" s="8">
        <v>2.3654999999999999</v>
      </c>
      <c r="F29" s="4">
        <v>3</v>
      </c>
      <c r="G29" s="5">
        <v>-150</v>
      </c>
      <c r="H29" s="6">
        <v>2</v>
      </c>
      <c r="I29" s="15">
        <v>0</v>
      </c>
      <c r="J29" s="7" t="s">
        <v>8</v>
      </c>
      <c r="K29" s="14" t="s">
        <v>53</v>
      </c>
      <c r="L29" s="12">
        <v>83</v>
      </c>
      <c r="M29" s="18">
        <v>-5.6893923478955912</v>
      </c>
    </row>
    <row r="30" spans="1:13" x14ac:dyDescent="0.25">
      <c r="A30" t="s">
        <v>108</v>
      </c>
      <c r="B30">
        <v>27</v>
      </c>
      <c r="C30">
        <v>17</v>
      </c>
      <c r="D30" s="16">
        <v>4.34</v>
      </c>
      <c r="E30" s="8">
        <v>2.17</v>
      </c>
      <c r="F30" s="4">
        <v>3.6</v>
      </c>
      <c r="G30" s="5">
        <v>-500</v>
      </c>
      <c r="H30" s="6">
        <v>2</v>
      </c>
      <c r="I30" s="15">
        <v>0</v>
      </c>
      <c r="J30" s="7" t="s">
        <v>16</v>
      </c>
      <c r="K30" s="14" t="s">
        <v>62</v>
      </c>
      <c r="L30" s="12">
        <v>70</v>
      </c>
      <c r="M30" s="18">
        <v>-4.1841338846300573</v>
      </c>
    </row>
    <row r="31" spans="1:13" x14ac:dyDescent="0.25">
      <c r="A31" t="s">
        <v>109</v>
      </c>
      <c r="B31">
        <v>28</v>
      </c>
      <c r="C31">
        <v>17</v>
      </c>
      <c r="D31" s="16">
        <v>4.3319999999999999</v>
      </c>
      <c r="E31" s="8">
        <v>2.1659999999999999</v>
      </c>
      <c r="F31" s="4">
        <v>3</v>
      </c>
      <c r="G31" s="5">
        <v>-150</v>
      </c>
      <c r="H31" s="6">
        <v>2</v>
      </c>
      <c r="I31" s="15">
        <v>0</v>
      </c>
      <c r="J31" s="7" t="s">
        <v>13</v>
      </c>
      <c r="K31" s="14" t="s">
        <v>61</v>
      </c>
      <c r="L31" s="12">
        <v>76</v>
      </c>
      <c r="M31" s="18">
        <v>-6.5124762432399734</v>
      </c>
    </row>
    <row r="32" spans="1:13" x14ac:dyDescent="0.25">
      <c r="A32" t="s">
        <v>110</v>
      </c>
      <c r="B32">
        <v>29</v>
      </c>
      <c r="C32">
        <v>18</v>
      </c>
      <c r="D32" s="16">
        <v>3.95</v>
      </c>
      <c r="E32" s="8">
        <v>1.9750000000000001</v>
      </c>
      <c r="F32" s="4">
        <v>3</v>
      </c>
      <c r="G32" s="5">
        <v>-500</v>
      </c>
      <c r="H32" s="6">
        <v>2</v>
      </c>
      <c r="I32" s="15">
        <v>0</v>
      </c>
      <c r="J32" s="7" t="s">
        <v>11</v>
      </c>
      <c r="K32" s="14" t="s">
        <v>63</v>
      </c>
      <c r="L32" s="12">
        <v>79</v>
      </c>
      <c r="M32" s="18">
        <v>-6.8317810156249834</v>
      </c>
    </row>
    <row r="33" spans="1:13" x14ac:dyDescent="0.25">
      <c r="A33" t="s">
        <v>111</v>
      </c>
      <c r="B33">
        <v>30</v>
      </c>
      <c r="C33">
        <v>19</v>
      </c>
      <c r="D33" s="16">
        <v>3.56</v>
      </c>
      <c r="E33" s="8">
        <v>1.78</v>
      </c>
      <c r="F33" s="4">
        <v>3</v>
      </c>
      <c r="G33" s="5">
        <v>-1000</v>
      </c>
      <c r="H33" s="6">
        <v>2</v>
      </c>
      <c r="I33" s="15">
        <v>0</v>
      </c>
      <c r="J33" s="7" t="s">
        <v>5</v>
      </c>
      <c r="K33" s="14" t="s">
        <v>52</v>
      </c>
      <c r="L33" s="12">
        <v>89</v>
      </c>
      <c r="M33" s="18">
        <v>-7.4421138799999653</v>
      </c>
    </row>
    <row r="34" spans="1:13" x14ac:dyDescent="0.25">
      <c r="A34" t="s">
        <v>112</v>
      </c>
      <c r="B34">
        <v>31</v>
      </c>
      <c r="C34">
        <v>20</v>
      </c>
      <c r="D34" s="16">
        <v>3.24</v>
      </c>
      <c r="E34" s="8">
        <v>1.62</v>
      </c>
      <c r="F34" s="4">
        <v>3</v>
      </c>
      <c r="G34" s="5">
        <v>-1000</v>
      </c>
      <c r="H34" s="6">
        <v>2</v>
      </c>
      <c r="I34" s="15">
        <v>0</v>
      </c>
      <c r="J34" s="7" t="s">
        <v>10</v>
      </c>
      <c r="K34" s="14" t="s">
        <v>57</v>
      </c>
      <c r="L34" s="12">
        <v>81</v>
      </c>
      <c r="M34" s="18">
        <v>-8.6904233199999794</v>
      </c>
    </row>
    <row r="35" spans="1:13" x14ac:dyDescent="0.25">
      <c r="A35" t="s">
        <v>113</v>
      </c>
      <c r="B35">
        <v>32</v>
      </c>
      <c r="C35">
        <v>21</v>
      </c>
      <c r="D35" s="16">
        <v>2.88</v>
      </c>
      <c r="E35" s="8">
        <v>1.44</v>
      </c>
      <c r="F35" s="4">
        <v>3</v>
      </c>
      <c r="G35" s="5">
        <v>-1000</v>
      </c>
      <c r="H35" s="6">
        <v>2</v>
      </c>
      <c r="I35" s="15">
        <v>0</v>
      </c>
      <c r="J35" s="7" t="s">
        <v>15</v>
      </c>
      <c r="K35" s="14" t="s">
        <v>54</v>
      </c>
      <c r="L35" s="12">
        <v>72</v>
      </c>
      <c r="M35" s="18">
        <v>-11.46287295999997</v>
      </c>
    </row>
    <row r="36" spans="1:13" x14ac:dyDescent="0.25">
      <c r="A36" t="s">
        <v>114</v>
      </c>
      <c r="B36">
        <v>33</v>
      </c>
      <c r="C36">
        <v>22</v>
      </c>
      <c r="D36" s="16">
        <v>2.6</v>
      </c>
      <c r="E36" s="8">
        <v>1.3</v>
      </c>
      <c r="F36" s="4">
        <v>3</v>
      </c>
      <c r="G36" s="5">
        <v>-1000</v>
      </c>
      <c r="H36" s="6">
        <v>2</v>
      </c>
      <c r="I36" s="15">
        <v>0</v>
      </c>
      <c r="J36" s="7" t="s">
        <v>130</v>
      </c>
      <c r="K36" s="14" t="s">
        <v>132</v>
      </c>
      <c r="L36" s="12">
        <v>65</v>
      </c>
      <c r="M36" s="18">
        <v>-14.990254999999991</v>
      </c>
    </row>
    <row r="37" spans="1:13" x14ac:dyDescent="0.25">
      <c r="A37" t="s">
        <v>115</v>
      </c>
      <c r="B37">
        <v>34</v>
      </c>
      <c r="C37">
        <v>23</v>
      </c>
      <c r="D37" s="16">
        <v>2.4</v>
      </c>
      <c r="E37" s="8">
        <v>2.4</v>
      </c>
      <c r="F37" s="4">
        <v>3</v>
      </c>
      <c r="G37" s="5">
        <v>-500</v>
      </c>
      <c r="H37" s="6">
        <v>1</v>
      </c>
      <c r="I37" s="15">
        <v>0</v>
      </c>
      <c r="J37" s="7" t="s">
        <v>2</v>
      </c>
      <c r="K37" s="14" t="s">
        <v>50</v>
      </c>
      <c r="L37" s="12">
        <v>96</v>
      </c>
      <c r="M37" s="18">
        <v>-5.4373600000000124</v>
      </c>
    </row>
    <row r="38" spans="1:13" x14ac:dyDescent="0.25">
      <c r="A38" t="s">
        <v>116</v>
      </c>
      <c r="B38">
        <v>35</v>
      </c>
      <c r="C38">
        <v>24</v>
      </c>
      <c r="D38" s="16">
        <v>2.1749999999999998</v>
      </c>
      <c r="E38" s="8">
        <v>2.1749999999999998</v>
      </c>
      <c r="F38" s="4">
        <v>3</v>
      </c>
      <c r="G38" s="5">
        <v>-500</v>
      </c>
      <c r="H38" s="6">
        <v>1</v>
      </c>
      <c r="I38" s="15">
        <v>0</v>
      </c>
      <c r="J38" s="7" t="s">
        <v>6</v>
      </c>
      <c r="K38" s="14" t="s">
        <v>51</v>
      </c>
      <c r="L38" s="12">
        <v>87</v>
      </c>
      <c r="M38" s="18">
        <v>-6.4920116406249804</v>
      </c>
    </row>
    <row r="39" spans="1:13" x14ac:dyDescent="0.25">
      <c r="A39" t="s">
        <v>117</v>
      </c>
      <c r="B39">
        <v>36</v>
      </c>
      <c r="C39">
        <v>25</v>
      </c>
      <c r="D39" s="16">
        <v>1.9750000000000001</v>
      </c>
      <c r="E39" s="8">
        <v>1.9750000000000001</v>
      </c>
      <c r="F39" s="4">
        <v>3</v>
      </c>
      <c r="G39" s="5">
        <v>-500</v>
      </c>
      <c r="H39" s="6">
        <v>1</v>
      </c>
      <c r="I39" s="15">
        <v>0</v>
      </c>
      <c r="J39" s="7" t="s">
        <v>11</v>
      </c>
      <c r="K39" s="14" t="s">
        <v>63</v>
      </c>
      <c r="L39" s="12">
        <v>79</v>
      </c>
      <c r="M39" s="18">
        <v>-6.8317810156249834</v>
      </c>
    </row>
    <row r="40" spans="1:13" x14ac:dyDescent="0.25">
      <c r="A40" t="s">
        <v>118</v>
      </c>
      <c r="B40">
        <v>37</v>
      </c>
      <c r="C40">
        <v>26</v>
      </c>
      <c r="D40" s="16">
        <v>1.7999999999999998</v>
      </c>
      <c r="E40" s="8">
        <v>1.7999999999999998</v>
      </c>
      <c r="F40" s="4">
        <v>3</v>
      </c>
      <c r="G40" s="5">
        <v>-500</v>
      </c>
      <c r="H40" s="6">
        <v>1</v>
      </c>
      <c r="I40" s="15">
        <v>0</v>
      </c>
      <c r="J40" s="7" t="s">
        <v>15</v>
      </c>
      <c r="K40" s="14" t="s">
        <v>54</v>
      </c>
      <c r="L40" s="12">
        <v>72</v>
      </c>
      <c r="M40" s="18">
        <v>-7.3442800000000261</v>
      </c>
    </row>
    <row r="41" spans="1:13" x14ac:dyDescent="0.25">
      <c r="A41" t="s">
        <v>119</v>
      </c>
      <c r="B41">
        <v>38</v>
      </c>
      <c r="C41">
        <v>27</v>
      </c>
      <c r="D41" s="16">
        <v>1.66</v>
      </c>
      <c r="E41" s="8">
        <v>1.66</v>
      </c>
      <c r="F41" s="4">
        <v>3</v>
      </c>
      <c r="G41" s="5">
        <v>-1000</v>
      </c>
      <c r="H41" s="6">
        <v>1</v>
      </c>
      <c r="I41" s="15">
        <v>0</v>
      </c>
      <c r="J41" s="7" t="s">
        <v>8</v>
      </c>
      <c r="K41" s="14" t="s">
        <v>53</v>
      </c>
      <c r="L41" s="12">
        <v>83</v>
      </c>
      <c r="M41" s="18">
        <v>-8.2891912399999796</v>
      </c>
    </row>
    <row r="42" spans="1:13" x14ac:dyDescent="0.25">
      <c r="A42" t="s">
        <v>120</v>
      </c>
      <c r="B42">
        <v>39</v>
      </c>
      <c r="C42">
        <v>28</v>
      </c>
      <c r="D42" s="16">
        <v>1.54</v>
      </c>
      <c r="E42" s="8">
        <v>1.54</v>
      </c>
      <c r="F42" s="4">
        <v>3</v>
      </c>
      <c r="G42" s="5">
        <v>-1000</v>
      </c>
      <c r="H42" s="6">
        <v>1</v>
      </c>
      <c r="I42" s="15">
        <v>0</v>
      </c>
      <c r="J42" s="7" t="s">
        <v>12</v>
      </c>
      <c r="K42" s="14" t="s">
        <v>60</v>
      </c>
      <c r="L42" s="12">
        <v>77</v>
      </c>
      <c r="M42" s="18">
        <v>-9.7107911599999852</v>
      </c>
    </row>
  </sheetData>
  <sheetProtection password="D697" sheet="1" formatCells="0" formatColumns="0" formatRows="0" insertColumns="0" insertRows="0" insertHyperlinks="0" deleteColumns="0" deleteRows="0" sort="0" autoFilter="0" pivotTables="0"/>
  <sortState xmlns:xlrd2="http://schemas.microsoft.com/office/spreadsheetml/2017/richdata2" ref="B3:F815">
    <sortCondition ref="B2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E94CA-57FD-4B41-A3C3-234653BF046F}">
  <dimension ref="A2:AT4"/>
  <sheetViews>
    <sheetView showGridLines="0" topLeftCell="C1" zoomScaleNormal="100" workbookViewId="0">
      <selection activeCell="F23" sqref="F23"/>
    </sheetView>
  </sheetViews>
  <sheetFormatPr defaultRowHeight="15" x14ac:dyDescent="0.25"/>
  <cols>
    <col min="1" max="1" width="11.42578125" bestFit="1" customWidth="1"/>
    <col min="2" max="2" width="255.7109375" bestFit="1" customWidth="1"/>
  </cols>
  <sheetData>
    <row r="2" spans="1:46" x14ac:dyDescent="0.25">
      <c r="A2" s="26" t="s">
        <v>64</v>
      </c>
      <c r="B2" s="25" t="str">
        <f>CONCATENATE("20 02 ",DEC2HEX(LEN(CONCATENATE("01 A0 AF ",DEC2HEX(LEN(CONCATENATE('DLMA CTRL Settings'!$F$3,'DLMA CTRL Settings'!$F$4,'DLMA CTRL Settings'!$F$10,"00 ",'DLMA CTRL Settings'!$F$17,'DLMA CTRL Settings'!$F$18,'DLMA CTRL Settings'!$F$24,"00 ",'DLMA CTRL Settings'!$F$31,"08 "))/3,2)&amp;" ",'DLMA CTRL Settings'!$F$3,'DLMA CTRL Settings'!$F$4,'DLMA CTRL Settings'!$F$10,"00 ",'DLMA CTRL Settings'!$F$17,'DLMA CTRL Settings'!$F$18,'DLMA CTRL Settings'!$F$24,"00 ",'DLMA CTRL Settings'!$F$31,"08 "))/3,2)&amp;" ","01 A0 AF ",DEC2HEX(LEN(CONCATENATE('DLMA CTRL Settings'!$F$3,'DLMA CTRL Settings'!$F$4,'DLMA CTRL Settings'!$F$10,"00 ",'DLMA CTRL Settings'!$F$17,'DLMA CTRL Settings'!$F$18,'DLMA CTRL Settings'!$F$24,"00 ",'DLMA CTRL Settings'!$F$31,"08 "))/3,2)&amp;" ",'DLMA CTRL Settings'!$F$3,'DLMA CTRL Settings'!$F$4,'DLMA CTRL Settings'!$F$10,"00 ",'DLMA CTRL Settings'!$F$17,'DLMA CTRL Settings'!$F$18,'DLMA CTRL Settings'!$F$24,"00 ",'DLMA CTRL Settings'!$F$31,"08 ")</f>
        <v xml:space="preserve">20 02 10 01 A0 AF 0C 83 C0 80 A0 00 83 80 80 A0 00 77 08 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spans="1:46" x14ac:dyDescent="0.25">
      <c r="A3" s="27" t="s">
        <v>65</v>
      </c>
      <c r="B3" s="25" t="str">
        <f>CONCATENATE("20 02 ",DEC2HEX(LEN(CONCATENATE("01 A0 34 ",DEC2HEX(LEN(CONCATENATE("23 04 ",DEC2HEX(ROWS('DLMA RSSI Settings'!$G$7:$G$30),2)&amp;" ",'DLMA RSSI Settings'!$G$66,DEC2HEX(ROWS('DLMA RSSI Settings'!$G$40:$G$63),2)&amp;" ",'DLMA RSSI Settings'!$G$67))/3,2)&amp;" ","23 04 ",DEC2HEX(ROWS('DLMA RSSI Settings'!$G$7:$G$30),2)&amp;" ",'DLMA RSSI Settings'!$G$66,DEC2HEX(ROWS('DLMA RSSI Settings'!$G$40:$G$63),2)&amp;" ",'DLMA RSSI Settings'!$G$67))/3,2)&amp;" ","01 A0 34 ",DEC2HEX(LEN(CONCATENATE("23 04 ",DEC2HEX(ROWS('DLMA RSSI Settings'!$G$7:$G$30),2)&amp;" ",'DLMA RSSI Settings'!$G$66,DEC2HEX(ROWS('DLMA RSSI Settings'!$G$40:$G$63),2)&amp;" ",'DLMA RSSI Settings'!$G$67))/3,2)&amp;" ","23 04 ",DEC2HEX(ROWS('DLMA RSSI Settings'!$G$7:$G$30),2)&amp;" ",'DLMA RSSI Settings'!$G$66,DEC2HEX(ROWS('DLMA RSSI Settings'!$G$40:$G$63),2)&amp;" ",'DLMA RSSI Settings'!$G$67)</f>
        <v xml:space="preserve">20 02 98 01 A0 34 94 23 04 18 35 00 00 4B 00 00 71 00 00 71 00 00 96 00 00 BC 00 00 BC 00 00 E1 00 00 07 01 00 07 01 00 2C 01 00 2C 01 00 52 01 00 52 01 00 77 01 00 77 01 00 C2 01 00 C2 01 00 0D 02 00 0D 02 00 58 02 00 58 02 00 EE 02 00 EE 02 00 18 BC 00 00 BC 00 00 BC 00 00 BC 00 00 E1 00 00 E1 00 00 2C 01 00 2C 01 00 2C 01 00 2C 01 00 2C 01 00 DC 05 00 DC 05 00 DC 05 00 DC 05 00 DC 05 00 DC 05 00 DC 05 00 DC 05 00 DC 05 00 DC 05 00 DC 05 00 DC 05 00 DC 05 00 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</row>
    <row r="4" spans="1:46" x14ac:dyDescent="0.25">
      <c r="A4" s="28" t="s">
        <v>66</v>
      </c>
      <c r="B4" s="25" t="s">
        <v>145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Revision history</vt:lpstr>
      <vt:lpstr>DLMA CTRL Settings</vt:lpstr>
      <vt:lpstr>DLMA RSSI Settings</vt:lpstr>
      <vt:lpstr>DLMA TX Settings</vt:lpstr>
      <vt:lpstr>DLMA NCI CMD</vt:lpstr>
      <vt:lpstr>DLMA_ENA_BPSK_AB</vt:lpstr>
      <vt:lpstr>DLMA_ENA_BPSK_F</vt:lpstr>
      <vt:lpstr>DLMA_ENA_SINGLE_TX_AB</vt:lpstr>
      <vt:lpstr>DLMA_ENA_SINGLE_TX_F</vt:lpstr>
      <vt:lpstr>DLMA_LIMIT_TXLDO_AB</vt:lpstr>
      <vt:lpstr>DLMA_LIMIT_TXLDO_F</vt:lpstr>
      <vt:lpstr>DLMA_RSSI_H_SCALE_AB</vt:lpstr>
      <vt:lpstr>DLMA_RSSI_H_SCALE_F</vt:lpstr>
      <vt:lpstr>LMA_TX_ref_AB</vt:lpstr>
      <vt:lpstr>LMA_TX_ref_F</vt:lpstr>
      <vt:lpstr>LMA_TX_SHIFT_AB</vt:lpstr>
      <vt:lpstr>LMA_TX_SHIFT_F</vt:lpstr>
    </vt:vector>
  </TitlesOfParts>
  <Company>NXP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guillaume.monnerie@nxp.com</dc:creator>
  <cp:lastModifiedBy>Jeremy Geslin</cp:lastModifiedBy>
  <dcterms:created xsi:type="dcterms:W3CDTF">2014-09-10T14:52:25Z</dcterms:created>
  <dcterms:modified xsi:type="dcterms:W3CDTF">2021-05-19T14:48:02Z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683b2ef6-b29a-402f-ad87-c24d709ec521</vt:lpwstr>
  </property>
</Properties>
</file>